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35" windowWidth="9375" windowHeight="6885" tabRatio="288" firstSheet="1" activeTab="2"/>
  </bookViews>
  <sheets>
    <sheet name="Feuil1" sheetId="1" state="hidden" r:id="rId1"/>
    <sheet name="master 2015" sheetId="2" r:id="rId2"/>
    <sheet name="Compétition" sheetId="3" r:id="rId3"/>
    <sheet name="liste depart single" sheetId="4" r:id="rId4"/>
    <sheet name="inscription equipe" sheetId="5" r:id="rId5"/>
    <sheet name="inscription single" sheetId="6" r:id="rId6"/>
    <sheet name="liste départ equipe" sheetId="7" r:id="rId7"/>
    <sheet name="stat" sheetId="8" r:id="rId8"/>
    <sheet name="Feuil2" sheetId="9" r:id="rId9"/>
  </sheets>
  <definedNames>
    <definedName name="_xlfn.COUNTIFS" hidden="1">#NAME?</definedName>
    <definedName name="_xlfn.SUMIFS" hidden="1">#NAME?</definedName>
    <definedName name="agemoyactd">'master 2015'!#REF!</definedName>
    <definedName name="agemoyactg">'master 2015'!#REF!</definedName>
    <definedName name="agemoyacth">'master 2015'!#REF!</definedName>
    <definedName name="agemoydam">'master 2015'!#REF!</definedName>
    <definedName name="agemoygen">'master 2015'!#REF!</definedName>
    <definedName name="agemoyhom">'master 2015'!#REF!</definedName>
    <definedName name="dc">'stat'!$B$72</definedName>
    <definedName name="dcomp">'Compétition'!#REF!</definedName>
    <definedName name="épart">'Compétition'!$D$1</definedName>
    <definedName name="hcpdimdam">'master 2015'!#REF!</definedName>
    <definedName name="hcpdimgen">'master 2015'!#REF!</definedName>
    <definedName name="hcpdimhom">'master 2015'!#REF!</definedName>
    <definedName name="hcpmoydam">'master 2015'!#REF!</definedName>
    <definedName name="hcpmoygen">'master 2015'!#REF!</definedName>
    <definedName name="hcpmoyhom">'master 2015'!#REF!</definedName>
    <definedName name="jcomp">'Compétition'!#REF!</definedName>
    <definedName name="joudhui">'master 2015'!#REF!</definedName>
    <definedName name="jourdhui">'stat'!$A$1</definedName>
    <definedName name="lastlign">'master 2015'!$E$353</definedName>
    <definedName name="mcomp">'Compétition'!#REF!</definedName>
    <definedName name="nbbavdnxt">'master 2015'!#REF!</definedName>
    <definedName name="nbbavgenxt">'master 2015'!#REF!</definedName>
    <definedName name="nbbavhnxt">'master 2015'!#REF!</definedName>
    <definedName name="nbboulavd">'master 2015'!#REF!</definedName>
    <definedName name="nbboulavg">'master 2015'!#REF!</definedName>
    <definedName name="nbboulavh">'master 2015'!#REF!</definedName>
    <definedName name="totact">'stat'!$F$34</definedName>
    <definedName name="totd">'stat'!$D$14</definedName>
    <definedName name="totfemact">'master 2015'!#REF!</definedName>
    <definedName name="totgen">'stat'!$F$14</definedName>
    <definedName name="totgenact">'master 2015'!#REF!</definedName>
    <definedName name="tothom">'stat'!$B$14</definedName>
    <definedName name="tothomact">'master 2015'!#REF!</definedName>
    <definedName name="year">'master 2015'!#REF!</definedName>
  </definedNames>
  <calcPr fullCalcOnLoad="1"/>
</workbook>
</file>

<file path=xl/sharedStrings.xml><?xml version="1.0" encoding="utf-8"?>
<sst xmlns="http://schemas.openxmlformats.org/spreadsheetml/2006/main" count="4171" uniqueCount="1999">
  <si>
    <t>0471.6723.21</t>
  </si>
  <si>
    <t>haigchim@gmail.com ;</t>
  </si>
  <si>
    <t>02.538.36.56</t>
  </si>
  <si>
    <t>0475.23.94.28</t>
  </si>
  <si>
    <t>Van Bunnenlaan,11 bte52</t>
  </si>
  <si>
    <t>Knokke</t>
  </si>
  <si>
    <t>rue des Drapiers, 2 bte  24</t>
  </si>
  <si>
    <t>route d'Ohain, 38</t>
  </si>
  <si>
    <t>BASECQZ</t>
  </si>
  <si>
    <t>LERAT</t>
  </si>
  <si>
    <t>0495.38.38.01</t>
  </si>
  <si>
    <t>rue des Taillette, 20</t>
  </si>
  <si>
    <t>Court-Saint-Etienne</t>
  </si>
  <si>
    <t>0475.89.42.18</t>
  </si>
  <si>
    <t>COLARD</t>
  </si>
  <si>
    <t>PETIT</t>
  </si>
  <si>
    <t>Joseph</t>
  </si>
  <si>
    <t>MICOLI</t>
  </si>
  <si>
    <t>Veldstraat,22</t>
  </si>
  <si>
    <t>jean.brasseur@skynet.be ;</t>
  </si>
  <si>
    <t>micheline.petit@skynet.be ;</t>
  </si>
  <si>
    <t>av desLucioles, 31</t>
  </si>
  <si>
    <t>02.354.42.33</t>
  </si>
  <si>
    <t>0477.32.89.40</t>
  </si>
  <si>
    <t>j.miccoli@skynet.be ;</t>
  </si>
  <si>
    <t>Drève ddes pins, 46</t>
  </si>
  <si>
    <t>0470.83.66.40</t>
  </si>
  <si>
    <t>Sponsor : FIDE CAPITAL</t>
  </si>
  <si>
    <t>la Forêt</t>
  </si>
  <si>
    <t>Compétition seniors du 19 juilet</t>
  </si>
  <si>
    <t xml:space="preserve">Formule de jeu  :  stableford agregate </t>
  </si>
  <si>
    <t>0477.83.63.02</t>
  </si>
  <si>
    <t>b.basecqz@hotmail.com ;</t>
  </si>
  <si>
    <t>paul@voute.be ;</t>
  </si>
  <si>
    <t>0471.36.48.11</t>
  </si>
  <si>
    <t>pierreyves.bene@gmail.com ;</t>
  </si>
  <si>
    <t>philerat@gmail.com ;</t>
  </si>
  <si>
    <t>EGGERICKS</t>
  </si>
  <si>
    <t>micheggerickx@skynet.be ;</t>
  </si>
  <si>
    <t>0475.90.25.12</t>
  </si>
  <si>
    <t>dvb@tdconsulting.be ;</t>
  </si>
  <si>
    <t>cathychanu@gmail.com ;</t>
  </si>
  <si>
    <t>av d'Hougoumont 27, bte1</t>
  </si>
  <si>
    <t>02.372.02.91</t>
  </si>
  <si>
    <t>de COUËT</t>
  </si>
  <si>
    <t>couet@skynet.be ;</t>
  </si>
  <si>
    <t>rue du Tabélion</t>
  </si>
  <si>
    <t>0473.46.38.00</t>
  </si>
  <si>
    <t>carbonezero@gmail.com ;</t>
  </si>
  <si>
    <t>mifoursport9@gmail.com ;</t>
  </si>
  <si>
    <t>BAUBE</t>
  </si>
  <si>
    <t>LEMAIGRE</t>
  </si>
  <si>
    <t>av de l'Espinette centrale, 48</t>
  </si>
  <si>
    <t>m.baube@gmail.com ;</t>
  </si>
  <si>
    <t>beatrice.struye@me.com ;</t>
  </si>
  <si>
    <t>clos de Belloi, 9</t>
  </si>
  <si>
    <t>0475.90.62.44</t>
  </si>
  <si>
    <t>Rhonda</t>
  </si>
  <si>
    <t>av du Manoir, 18</t>
  </si>
  <si>
    <t>02.360.08.04</t>
  </si>
  <si>
    <t>smeyers.f@skynet.be ;</t>
  </si>
  <si>
    <t xml:space="preserve">du mardi 15 décembre 2015  </t>
  </si>
  <si>
    <t>Capitaine : Thierry de Patoul</t>
  </si>
  <si>
    <t>Compétition sur 15 trous du Château</t>
  </si>
  <si>
    <t>Trous joués : du 1 au 13 + 17 et 18</t>
  </si>
  <si>
    <t>Formule de jeu : Single  Stableford   (placing sur tee - non qualifying)</t>
  </si>
  <si>
    <t>Proclamation des résultats le mardi 15 décembre  vers 16 h 30</t>
  </si>
  <si>
    <t>9h00</t>
  </si>
  <si>
    <t>9h09</t>
  </si>
  <si>
    <t>9h18</t>
  </si>
  <si>
    <t>9h27</t>
  </si>
  <si>
    <t>9h36</t>
  </si>
  <si>
    <t>9h45</t>
  </si>
  <si>
    <t>9h54</t>
  </si>
  <si>
    <t>10h03</t>
  </si>
  <si>
    <t>10h11</t>
  </si>
  <si>
    <t>11h02</t>
  </si>
  <si>
    <t>11h11</t>
  </si>
  <si>
    <t>11h20</t>
  </si>
  <si>
    <t>11h29</t>
  </si>
  <si>
    <t>11h38</t>
  </si>
  <si>
    <t>11h47</t>
  </si>
  <si>
    <t>11h56</t>
  </si>
  <si>
    <t>n</t>
  </si>
  <si>
    <t>a</t>
  </si>
  <si>
    <t>FAYARD Alain</t>
  </si>
  <si>
    <t>BOULANGE Bernard</t>
  </si>
  <si>
    <t>FONTEYNE  Guy</t>
  </si>
  <si>
    <t>BATAILLE de LONGPREY Béattrice</t>
  </si>
  <si>
    <t>SUNNEN  Catherine</t>
  </si>
  <si>
    <t>FORSTER Sonia</t>
  </si>
  <si>
    <t>pierre.colard@coficre.be ;</t>
  </si>
  <si>
    <t>av Mont Marcure, 31</t>
  </si>
  <si>
    <t>Braine-lAlleud</t>
  </si>
  <si>
    <t>0475.77.06.17</t>
  </si>
  <si>
    <t>acareme61@gmail.com ;</t>
  </si>
  <si>
    <t xml:space="preserve">LEMAIGRE </t>
  </si>
  <si>
    <t>christianlemaigre@yahoo.fr ;</t>
  </si>
  <si>
    <t>0475.55.63.30</t>
  </si>
  <si>
    <t>d.wolfs@telenet.be ;</t>
  </si>
  <si>
    <t>02.453.10.51</t>
  </si>
  <si>
    <t>duboisgh14@gmail.com ;</t>
  </si>
  <si>
    <t>Eden Green, Val des Seigneurs 32/12</t>
  </si>
  <si>
    <t>jdekriek@gmail.com ;</t>
  </si>
  <si>
    <t>Place du Château Tremblant, 5B</t>
  </si>
  <si>
    <t>02.453.93.41</t>
  </si>
  <si>
    <t>0475,25,86,93</t>
  </si>
  <si>
    <t>VERVA</t>
  </si>
  <si>
    <t>Avenue Ptolemée, 16/12</t>
  </si>
  <si>
    <t>0475.66.40.71</t>
  </si>
  <si>
    <t>BENADIA</t>
  </si>
  <si>
    <t>BENE</t>
  </si>
  <si>
    <t>MAELSCHAERT</t>
  </si>
  <si>
    <t>BRACHOTTE</t>
  </si>
  <si>
    <t>christine.beniada@gmail.com</t>
  </si>
  <si>
    <t>rue Dodonée, 5</t>
  </si>
  <si>
    <t>02.347.19.99</t>
  </si>
  <si>
    <t>jf.brachotte@free.fr</t>
  </si>
  <si>
    <t>av Hamoir, 12</t>
  </si>
  <si>
    <t>042.65.04.81</t>
  </si>
  <si>
    <t>02.344.11.86</t>
  </si>
  <si>
    <t>0488.46.05.30</t>
  </si>
  <si>
    <t>michel.malschaert@challenger.be</t>
  </si>
  <si>
    <t>ch d'Alsemberg, 1027</t>
  </si>
  <si>
    <t>02.351.5.71</t>
  </si>
  <si>
    <t>0475.80.41.01</t>
  </si>
  <si>
    <t>02.372.00.00</t>
  </si>
  <si>
    <t>0475.26.70.83</t>
  </si>
  <si>
    <t>FRISQUE</t>
  </si>
  <si>
    <t>02.351.87.99</t>
  </si>
  <si>
    <t>etienne.frisque@gmail.com</t>
  </si>
  <si>
    <t>02.374.60.58</t>
  </si>
  <si>
    <t>Jean-Louis</t>
  </si>
  <si>
    <t>MARCHAND</t>
  </si>
  <si>
    <t>de KRIEK</t>
  </si>
  <si>
    <t>yy</t>
  </si>
  <si>
    <t>Zonienboslaan, 13</t>
  </si>
  <si>
    <t xml:space="preserve">VANDER BORGHT </t>
  </si>
  <si>
    <t>LAMBERT-HAFELE</t>
  </si>
  <si>
    <t>VAN BEERS</t>
  </si>
  <si>
    <t>rue Tenbroek 44a</t>
  </si>
  <si>
    <t>02.380.36.03</t>
  </si>
  <si>
    <t>0476.40.54.82</t>
  </si>
  <si>
    <t>WIBAUW</t>
  </si>
  <si>
    <t>michel.troubetzkoy@avisapartners.eu ;</t>
  </si>
  <si>
    <t>jverva@hotmail.fr ;</t>
  </si>
  <si>
    <t>BAISSAS-SIMON</t>
  </si>
  <si>
    <t>STANDAERT-SOETENS</t>
  </si>
  <si>
    <t>ROLLAND-SCOHY</t>
  </si>
  <si>
    <t>GORIS-RODESCH</t>
  </si>
  <si>
    <t xml:space="preserve">FREISBERG-THITEUX </t>
  </si>
  <si>
    <t>VAN DAMME-VAN der BORGHT</t>
  </si>
  <si>
    <t>VAN PRAET-WEILL</t>
  </si>
  <si>
    <t>DAS-VOLDERS</t>
  </si>
  <si>
    <t>DE WITTE-DUBOIS</t>
  </si>
  <si>
    <t>OEHLER-ENTMAYR</t>
  </si>
  <si>
    <t>COURTENS-GERSDORFF</t>
  </si>
  <si>
    <t>KING-PERRAUDIN</t>
  </si>
  <si>
    <t>MAINJOT-PERSOONS</t>
  </si>
  <si>
    <t>rhonda_perraudin@yahoo.com ;</t>
  </si>
  <si>
    <t>thirschland@lesuco.be ;</t>
  </si>
  <si>
    <t>Rue Léon Castilhon, 49</t>
  </si>
  <si>
    <t>Arlon</t>
  </si>
  <si>
    <t>063.22.42.58</t>
  </si>
  <si>
    <t>0496.23.28.03</t>
  </si>
  <si>
    <t>info@marchand.be</t>
  </si>
  <si>
    <t>Forest</t>
  </si>
  <si>
    <t>02.347.55.59</t>
  </si>
  <si>
    <t>info@marchand.be ;</t>
  </si>
  <si>
    <t>cwybauw@hotmail.com ;</t>
  </si>
  <si>
    <t>daniele_vanbeers@skynet.be;</t>
  </si>
  <si>
    <t>BATENBURG-CONREUR</t>
  </si>
  <si>
    <t>0474.97.18.93</t>
  </si>
  <si>
    <t>avenue Minerve 29/13</t>
  </si>
  <si>
    <t>0494.18.25.55</t>
  </si>
  <si>
    <t>TROUBETZKOY</t>
  </si>
  <si>
    <t>av Gustave, 29A</t>
  </si>
  <si>
    <t>Rue du Repos 21</t>
  </si>
  <si>
    <t>0470.66.57.87</t>
  </si>
  <si>
    <t>02.687.23.84</t>
  </si>
  <si>
    <t>0496.85.31.02</t>
  </si>
  <si>
    <t>Avenue de la Brise,  3</t>
  </si>
  <si>
    <t>0498.97.36.60</t>
  </si>
  <si>
    <t>rue Copernic,  6 bte 7</t>
  </si>
  <si>
    <t>0474.97.28.06</t>
  </si>
  <si>
    <t>Venelle des 3 sapins, 1 bp 5</t>
  </si>
  <si>
    <t>av Jean Van Ruusbroec, 6</t>
  </si>
  <si>
    <t>cathy@basecqz.com ;</t>
  </si>
  <si>
    <t>0476. 57.54.20</t>
  </si>
  <si>
    <t>Pl. du Château Tremblant, 1a bt20</t>
  </si>
  <si>
    <t>sc@sergecaustur.be ;</t>
  </si>
  <si>
    <t>Av des Aubépines, 165</t>
  </si>
  <si>
    <t>jd.scowcroft@gmail.com ;</t>
  </si>
  <si>
    <t>hcp 2016</t>
  </si>
  <si>
    <t>Delta 2017 vs 2016</t>
  </si>
  <si>
    <t>cot 2017</t>
  </si>
  <si>
    <t>02.358.46.80</t>
  </si>
  <si>
    <t>de TROOSTENBERGH-de GOUSSENCOURT</t>
  </si>
  <si>
    <t>Luc</t>
  </si>
  <si>
    <t>02.361.52.05</t>
  </si>
  <si>
    <t>0475.57.80.00</t>
  </si>
  <si>
    <t>Latifa</t>
  </si>
  <si>
    <t>FRATERS</t>
  </si>
  <si>
    <t>latifa.maiz@me.com ;</t>
  </si>
  <si>
    <t>02.384.12.02</t>
  </si>
  <si>
    <t>0475.20.25.83</t>
  </si>
  <si>
    <t>rue de la Grange des Champs, 117</t>
  </si>
  <si>
    <t>fl 01</t>
  </si>
  <si>
    <t>fl02</t>
  </si>
  <si>
    <t>fl03</t>
  </si>
  <si>
    <t>fl04</t>
  </si>
  <si>
    <t>fl05</t>
  </si>
  <si>
    <t>fl06</t>
  </si>
  <si>
    <t>fl07</t>
  </si>
  <si>
    <t>fl08</t>
  </si>
  <si>
    <t>fl09</t>
  </si>
  <si>
    <t>fl10</t>
  </si>
  <si>
    <t>cat 1</t>
  </si>
  <si>
    <t>SOETENS Dominique</t>
  </si>
  <si>
    <t>KRAENEN Jacqueline</t>
  </si>
  <si>
    <t>VANDENPLAS Fernand</t>
  </si>
  <si>
    <t>BARIN Michel</t>
  </si>
  <si>
    <t>VARDAKAS Elene</t>
  </si>
  <si>
    <t>BLOEMENDAL Alai</t>
  </si>
  <si>
    <t>ODEURS Michel</t>
  </si>
  <si>
    <t>LOIX Georges</t>
  </si>
  <si>
    <t>OVAERE Willy</t>
  </si>
  <si>
    <t>LOIX Désirée</t>
  </si>
  <si>
    <t>POLET Philippe</t>
  </si>
  <si>
    <t>LION Christophe</t>
  </si>
  <si>
    <t>PAHAUT Philippe</t>
  </si>
  <si>
    <t>GALAND Linda</t>
  </si>
  <si>
    <t>NIZET Catherine</t>
  </si>
  <si>
    <t>URBAIN Jacques</t>
  </si>
  <si>
    <t>ANTOINE Christian</t>
  </si>
  <si>
    <t>BROERS Guido</t>
  </si>
  <si>
    <t>PIETTE Charles</t>
  </si>
  <si>
    <t>HOUBEN Pierre</t>
  </si>
  <si>
    <t>BEGASSE DE DHAEM André</t>
  </si>
  <si>
    <t>points</t>
  </si>
  <si>
    <t>av. des Cèdres, 31</t>
  </si>
  <si>
    <t>av. Stuart Merrill, 21</t>
  </si>
  <si>
    <t>Zevengatenlaan, 10</t>
  </si>
  <si>
    <t>r. de Genleau, 109</t>
  </si>
  <si>
    <t>av. Maxime van Praag, 4</t>
  </si>
  <si>
    <t>rue de l'Arbre Bénit, 55</t>
  </si>
  <si>
    <t>av. des Orchidées, 11</t>
  </si>
  <si>
    <t>av. H. Elleboudt, 9/10</t>
  </si>
  <si>
    <t>av. Bel-Air, 32</t>
  </si>
  <si>
    <t>av. des Aunelles, 13</t>
  </si>
  <si>
    <t>av. Marie-Louise, 56</t>
  </si>
  <si>
    <t>av. de la Grande Jonction, 10</t>
  </si>
  <si>
    <t>av. de Keersmaeker, 18</t>
  </si>
  <si>
    <t>av. de la Libération, 12</t>
  </si>
  <si>
    <t>av. des Vanneaux, 11</t>
  </si>
  <si>
    <t>av. des Aubépines, 11</t>
  </si>
  <si>
    <t>bld. Brand Whitlock, 84 bte.17</t>
  </si>
  <si>
    <t>square de Biarritz, 2 bte 8</t>
  </si>
  <si>
    <t>av. Dolez, 466 B</t>
  </si>
  <si>
    <t>chaussée de Waterloo, 1458</t>
  </si>
  <si>
    <t>r. Général Lotz, 66</t>
  </si>
  <si>
    <t>drève des Pins, 56</t>
  </si>
  <si>
    <t>av. des Nations Unies, 89</t>
  </si>
  <si>
    <t>Sterrebeeldlaan, 10</t>
  </si>
  <si>
    <t>av. Montjoie, 222A</t>
  </si>
  <si>
    <t>av. Zénobe Gramme, 1</t>
  </si>
  <si>
    <t>av. Juliette, 7</t>
  </si>
  <si>
    <t>r. Scolasse, 41</t>
  </si>
  <si>
    <t>av. Astrid, 20</t>
  </si>
  <si>
    <t>av. des Chalets, 29</t>
  </si>
  <si>
    <t>av. de la Fauvette, 7</t>
  </si>
  <si>
    <t>drève Dudinsart, 118</t>
  </si>
  <si>
    <t>av. Hamoir, 37 B</t>
  </si>
  <si>
    <t>chemin des Noces, 59</t>
  </si>
  <si>
    <t>av. de la Chenaie, 133-135</t>
  </si>
  <si>
    <t>rue de la Station, 91</t>
  </si>
  <si>
    <t>av. de la Fauvette, 10</t>
  </si>
  <si>
    <t>av. de la Libération, 43</t>
  </si>
  <si>
    <t>av. de la Rosée, 8</t>
  </si>
  <si>
    <t>Elfbunderslaan, 37</t>
  </si>
  <si>
    <t>r. du Bemel, 9 bte.5</t>
  </si>
  <si>
    <t>Venelle des 3 Sapins, 2B b.12</t>
  </si>
  <si>
    <t>Sanatoriumstraat, 215</t>
  </si>
  <si>
    <t>av. Prince Baudouin, 54</t>
  </si>
  <si>
    <t>av. de la Fauvette, 15</t>
  </si>
  <si>
    <t>av. de Floréal, 41</t>
  </si>
  <si>
    <t>chauss. de la Hulpe, 205</t>
  </si>
  <si>
    <t>Bronstraat, 5</t>
  </si>
  <si>
    <t>av. René Lyr, 10</t>
  </si>
  <si>
    <t>Beukenstraat, 160</t>
  </si>
  <si>
    <t>av. Reine Astrid, 173</t>
  </si>
  <si>
    <t>Dieweg, 71 A</t>
  </si>
  <si>
    <t>av. d'Hougoumont, 27</t>
  </si>
  <si>
    <t>route Gouvernementale, 174</t>
  </si>
  <si>
    <t>Ferme Barnage</t>
  </si>
  <si>
    <t>av. Belle-vue, 103</t>
  </si>
  <si>
    <t>av. des Chrysanthèmes, 12</t>
  </si>
  <si>
    <t>Val St. André, 27</t>
  </si>
  <si>
    <t>av. Marie-José, 35</t>
  </si>
  <si>
    <t>r. du Couvent, 8</t>
  </si>
  <si>
    <t>Bunderdreef, 6</t>
  </si>
  <si>
    <t>r. du Coq, 146</t>
  </si>
  <si>
    <t>Teniersdreef, 33</t>
  </si>
  <si>
    <t>av. Vert Bocage, 38</t>
  </si>
  <si>
    <t>r. Alphonse Renard, 23</t>
  </si>
  <si>
    <t>av. Général Dubois, 10</t>
  </si>
  <si>
    <t>av. de la Paix, 43</t>
  </si>
  <si>
    <t>av. de la Fauvette, 11</t>
  </si>
  <si>
    <t xml:space="preserve">Karrenberg, 30 </t>
  </si>
  <si>
    <t>av. de Septembre, 8</t>
  </si>
  <si>
    <t>Winterperre, 28</t>
  </si>
  <si>
    <t>av. Fond'roy, 81</t>
  </si>
  <si>
    <t>av. des Muguets, 14</t>
  </si>
  <si>
    <t>chemin de Dadelane, 7</t>
  </si>
  <si>
    <t>av. des Eperviers, 9</t>
  </si>
  <si>
    <t>av. de la Brise, 14</t>
  </si>
  <si>
    <t>av. Circulaire, 144C bte.7</t>
  </si>
  <si>
    <t>r. de l'Equateur, 47/4</t>
  </si>
  <si>
    <t>av. Winston Churchill, 169</t>
  </si>
  <si>
    <t>Sum 18</t>
  </si>
  <si>
    <t>Laekenveld, 11</t>
  </si>
  <si>
    <t>av. du Fort Jaco, 75</t>
  </si>
  <si>
    <t>02.375.34.53</t>
  </si>
  <si>
    <t>0475.66.93.77</t>
  </si>
  <si>
    <t>Clos de la Fontaine, 5a</t>
  </si>
  <si>
    <t>02.354.00.92</t>
  </si>
  <si>
    <t>0475.62.74.89</t>
  </si>
  <si>
    <t>0475.95.12.20</t>
  </si>
  <si>
    <t>0473.89.33.56</t>
  </si>
  <si>
    <t>0479.52.67.96</t>
  </si>
  <si>
    <t>0478.84.36.11</t>
  </si>
  <si>
    <t>r. de Mont St. Pont, 66</t>
  </si>
  <si>
    <t>02.366.90.01</t>
  </si>
  <si>
    <t>0477.23.52.02</t>
  </si>
  <si>
    <t>av. de l'Ecuyer, 23</t>
  </si>
  <si>
    <t>02.358.38.46</t>
  </si>
  <si>
    <t>0475.83.16.39</t>
  </si>
  <si>
    <t>0491.22.68.26</t>
  </si>
  <si>
    <t>r. des Piles, 33</t>
  </si>
  <si>
    <t>02.387.17.69</t>
  </si>
  <si>
    <t>02.344.61.69</t>
  </si>
  <si>
    <t>0478.31.04.07</t>
  </si>
  <si>
    <t>Bierges</t>
  </si>
  <si>
    <t>0471.39.09.74</t>
  </si>
  <si>
    <t>02.351.17.73</t>
  </si>
  <si>
    <t>Rhode-Saint-Genèse</t>
  </si>
  <si>
    <t>av. des Avocettes, 6</t>
  </si>
  <si>
    <t>Beersel</t>
  </si>
  <si>
    <t>02.640.66.82</t>
  </si>
  <si>
    <t>Braine-le-Château</t>
  </si>
  <si>
    <t>Wemmel</t>
  </si>
  <si>
    <t>Lasne</t>
  </si>
  <si>
    <t>Buizingen</t>
  </si>
  <si>
    <t>02.351.62.52</t>
  </si>
  <si>
    <t>02.633.22.59</t>
  </si>
  <si>
    <t>02.375.28.41</t>
  </si>
  <si>
    <t>02.375.16.46</t>
  </si>
  <si>
    <t>0477.37.06.66</t>
  </si>
  <si>
    <t>02.374.20.53</t>
  </si>
  <si>
    <t>0473.21.51.40</t>
  </si>
  <si>
    <t>0475.68.31.59</t>
  </si>
  <si>
    <t>02.782.11.91</t>
  </si>
  <si>
    <t>0474.25.48.79</t>
  </si>
  <si>
    <t>067.49.13.40</t>
  </si>
  <si>
    <t>0474.89.85.03</t>
  </si>
  <si>
    <t>0475.52.99.22</t>
  </si>
  <si>
    <t>02.358.58.20</t>
  </si>
  <si>
    <t>02.633.15.47</t>
  </si>
  <si>
    <t>02.466.80.61</t>
  </si>
  <si>
    <t>0475.75.76.67</t>
  </si>
  <si>
    <t>02.270.41.58</t>
  </si>
  <si>
    <t>0497.42.31.45</t>
  </si>
  <si>
    <t>0479.28.33.42</t>
  </si>
  <si>
    <t>0473.91.67.00</t>
  </si>
  <si>
    <t>02.380.63.39</t>
  </si>
  <si>
    <t>0475.55.34.33</t>
  </si>
  <si>
    <t>02.343.05.09</t>
  </si>
  <si>
    <t>02.354.62.60</t>
  </si>
  <si>
    <t>02.358.15.50</t>
  </si>
  <si>
    <t>0473.24.27.65</t>
  </si>
  <si>
    <t>02.375.24.39</t>
  </si>
  <si>
    <t>02.380.79.24</t>
  </si>
  <si>
    <t>0496.16.77.66</t>
  </si>
  <si>
    <t>02.460.66.06</t>
  </si>
  <si>
    <t>La Hulpe</t>
  </si>
  <si>
    <t>0477.26.57.67</t>
  </si>
  <si>
    <t>02.346.93.83</t>
  </si>
  <si>
    <t>02.771.50.76</t>
  </si>
  <si>
    <t>0495.59.99.96</t>
  </si>
  <si>
    <t>0477.27.95.21</t>
  </si>
  <si>
    <t>0475.95.03.84</t>
  </si>
  <si>
    <t>0475.32.13.10</t>
  </si>
  <si>
    <t>0475.64.38.34</t>
  </si>
  <si>
    <t>0496.55.04.76</t>
  </si>
  <si>
    <t>02.354.40.19</t>
  </si>
  <si>
    <t>02.354.97.25</t>
  </si>
  <si>
    <t>02.374.55.77</t>
  </si>
  <si>
    <t>02.731.27.00</t>
  </si>
  <si>
    <t>02.354.98.50</t>
  </si>
  <si>
    <t>02.358.28.51</t>
  </si>
  <si>
    <t>02.358.54.40</t>
  </si>
  <si>
    <t>02.381.38.30</t>
  </si>
  <si>
    <t>02.366.46.64</t>
  </si>
  <si>
    <t>0475.80.31.82</t>
  </si>
  <si>
    <t>02.347.63.08</t>
  </si>
  <si>
    <t>Linkebeek</t>
  </si>
  <si>
    <t>0476.46.61.15</t>
  </si>
  <si>
    <t>02.649.49.61</t>
  </si>
  <si>
    <t>0474.96.87.18</t>
  </si>
  <si>
    <t>02.673.36.27</t>
  </si>
  <si>
    <t>0475.26.06.76</t>
  </si>
  <si>
    <t>0477.69.03.57</t>
  </si>
  <si>
    <t>0474.84.72.28</t>
  </si>
  <si>
    <t>0473.27.36.29</t>
  </si>
  <si>
    <t>0473.74.51.57</t>
  </si>
  <si>
    <t>0477.80.40.56</t>
  </si>
  <si>
    <t>0475.27.81.50</t>
  </si>
  <si>
    <t>02.372.08.88</t>
  </si>
  <si>
    <t>02.374.39.77</t>
  </si>
  <si>
    <t>0479.62.58.85</t>
  </si>
  <si>
    <t>0495.22.07.13</t>
  </si>
  <si>
    <t>0497.71.23.81</t>
  </si>
  <si>
    <t>0476.32.03.07</t>
  </si>
  <si>
    <t>02.351.58.71</t>
  </si>
  <si>
    <t>0478.43.12.54</t>
  </si>
  <si>
    <t>02.358.49.39</t>
  </si>
  <si>
    <t>0475.45.38.86</t>
  </si>
  <si>
    <t>02.375.43.53</t>
  </si>
  <si>
    <t>0476.25.00.04</t>
  </si>
  <si>
    <t>02.384.14.47</t>
  </si>
  <si>
    <t>02.460.35.15</t>
  </si>
  <si>
    <t>av. des Tournesols, 3</t>
  </si>
  <si>
    <t>av. du Golf, 25</t>
  </si>
  <si>
    <t>02.358.39.59</t>
  </si>
  <si>
    <t>0476.97.65.25</t>
  </si>
  <si>
    <t>av. Malmaison, 49</t>
  </si>
  <si>
    <t>02.354.96.81</t>
  </si>
  <si>
    <t>de MEESTER de HEYNDONCK</t>
  </si>
  <si>
    <t>02.354.67.60</t>
  </si>
  <si>
    <t>drève des pins, 10</t>
  </si>
  <si>
    <t>drève des Pins, 10</t>
  </si>
  <si>
    <t>02.375.77.70</t>
  </si>
  <si>
    <t>0486.57.09.78</t>
  </si>
  <si>
    <t>0475.83.33.84</t>
  </si>
  <si>
    <t>0496.26.35.45</t>
  </si>
  <si>
    <t>0477.62.34.91</t>
  </si>
  <si>
    <t>0475.26.81.60</t>
  </si>
  <si>
    <t>av.de la Ferme Rose, 14/b.14</t>
  </si>
  <si>
    <t>0496.56.49.43</t>
  </si>
  <si>
    <t>02.633.51.96</t>
  </si>
  <si>
    <t>02.354.67.74</t>
  </si>
  <si>
    <t>0475.80.63.51</t>
  </si>
  <si>
    <t>0475.85.34.17</t>
  </si>
  <si>
    <t>Clos du Versant, 12</t>
  </si>
  <si>
    <t>02.354.51.31</t>
  </si>
  <si>
    <t>0478.20.31.73</t>
  </si>
  <si>
    <t>0473.49.29.79</t>
  </si>
  <si>
    <t>0498.11.37.97</t>
  </si>
  <si>
    <t>02.345.71.34</t>
  </si>
  <si>
    <t>0497.44.09.20</t>
  </si>
  <si>
    <t>02.375.33.73</t>
  </si>
  <si>
    <t>0477.66.26.72</t>
  </si>
  <si>
    <t>02.358.36.18</t>
  </si>
  <si>
    <t>r. La Vau, 91</t>
  </si>
  <si>
    <t>0494.12.87.55</t>
  </si>
  <si>
    <t>pl. du Château Tremblant, 5 B</t>
  </si>
  <si>
    <t>clos de la Fontaine, 7</t>
  </si>
  <si>
    <t>02.358.41.14</t>
  </si>
  <si>
    <t>0475.44.39.66</t>
  </si>
  <si>
    <t>av. Molière, 466</t>
  </si>
  <si>
    <t>02.346.39.25</t>
  </si>
  <si>
    <t>02.380.62.38</t>
  </si>
  <si>
    <t>0475.26.50.43</t>
  </si>
  <si>
    <t>0475.25.16.65</t>
  </si>
  <si>
    <t>02.372.17.51</t>
  </si>
  <si>
    <t>0477.20.70.77</t>
  </si>
  <si>
    <t>02.366.35.51</t>
  </si>
  <si>
    <t>0476.28.41.64</t>
  </si>
  <si>
    <t>r. Henri Gouvart, 5</t>
  </si>
  <si>
    <t>0477.47.76.52</t>
  </si>
  <si>
    <t>0497.45.00.22</t>
  </si>
  <si>
    <t>0479.74.00.22</t>
  </si>
  <si>
    <t>0477.52.73.26</t>
  </si>
  <si>
    <t>0475.54.97.04</t>
  </si>
  <si>
    <t>av. A. Huysmans, 85 bte.10</t>
  </si>
  <si>
    <t>av. des Allées Fleuries, 3</t>
  </si>
  <si>
    <t>0477.59.59.49</t>
  </si>
  <si>
    <t>02.354.92.90</t>
  </si>
  <si>
    <t>0475.81.93.00</t>
  </si>
  <si>
    <t>02.375.94.33</t>
  </si>
  <si>
    <t>0483.23.42.63</t>
  </si>
  <si>
    <t>02.354.22.35</t>
  </si>
  <si>
    <t>0477.53.25.81</t>
  </si>
  <si>
    <t>0477.75.23.08</t>
  </si>
  <si>
    <t>0475.87.94.97</t>
  </si>
  <si>
    <t>02.351.68.68</t>
  </si>
  <si>
    <t>02.375.24.23</t>
  </si>
  <si>
    <t>02.358.33.41</t>
  </si>
  <si>
    <t>av. Henry Bourgys, 31</t>
  </si>
  <si>
    <t>02.372.14.10</t>
  </si>
  <si>
    <t>0475.80.73.27</t>
  </si>
  <si>
    <t>02.384.36.87</t>
  </si>
  <si>
    <t>0475.74.10.10</t>
  </si>
  <si>
    <t>0475.61.62.51</t>
  </si>
  <si>
    <t>02.351.83.37</t>
  </si>
  <si>
    <t>02.734.54.77</t>
  </si>
  <si>
    <t>0497.42.13.29</t>
  </si>
  <si>
    <t>av. des Avocettes, 12</t>
  </si>
  <si>
    <t>0475.51.46.56</t>
  </si>
  <si>
    <t>02.375.89.92</t>
  </si>
  <si>
    <t>0498.14.37.74</t>
  </si>
  <si>
    <t>av. des Hirondelles, 45</t>
  </si>
  <si>
    <t>0486.10.86.60</t>
  </si>
  <si>
    <t>02.375.14.77</t>
  </si>
  <si>
    <t>0475.36.05.03</t>
  </si>
  <si>
    <t>0475.44.19.05</t>
  </si>
  <si>
    <t>02.270.24.66</t>
  </si>
  <si>
    <t>0479.40.43.68</t>
  </si>
  <si>
    <t>0496.20.85.77</t>
  </si>
  <si>
    <t xml:space="preserve">        ADRESSE</t>
  </si>
  <si>
    <t xml:space="preserve">          NOM</t>
  </si>
  <si>
    <t xml:space="preserve">       TEL</t>
  </si>
  <si>
    <t xml:space="preserve">      GSM</t>
  </si>
  <si>
    <t>0476.03.83.09</t>
  </si>
  <si>
    <t>0497.57.63.03</t>
  </si>
  <si>
    <t>02.460.02.26</t>
  </si>
  <si>
    <t>0475.49.55.75</t>
  </si>
  <si>
    <t>0476.52.32.21</t>
  </si>
  <si>
    <t>0497.85.17.17</t>
  </si>
  <si>
    <t>02.375.64.24</t>
  </si>
  <si>
    <t>av. des Aubépines, 167</t>
  </si>
  <si>
    <t>route d'Hannonsart, 12</t>
  </si>
  <si>
    <t>LOCALITE</t>
  </si>
  <si>
    <t>Kraainem</t>
  </si>
  <si>
    <t>Waterloo</t>
  </si>
  <si>
    <t>Braine-l'Alleud</t>
  </si>
  <si>
    <t>0475.58.22.15</t>
  </si>
  <si>
    <t>0473.94.09.05</t>
  </si>
  <si>
    <t>0479.06.82.71</t>
  </si>
  <si>
    <t>0491.22.07.67</t>
  </si>
  <si>
    <t>Tervuren</t>
  </si>
  <si>
    <t>Overijse</t>
  </si>
  <si>
    <t>Alsemberg</t>
  </si>
  <si>
    <t>Watermael-Boitsfort</t>
  </si>
  <si>
    <t>02.372.00.19</t>
  </si>
  <si>
    <t>02.351.22.42</t>
  </si>
  <si>
    <t>Bruxelles</t>
  </si>
  <si>
    <t>02.771 99 13</t>
  </si>
  <si>
    <t>Ittre</t>
  </si>
  <si>
    <t>Dilbeek</t>
  </si>
  <si>
    <t>02.374.66.04</t>
  </si>
  <si>
    <t>02.375.52.57</t>
  </si>
  <si>
    <t>0479.91.34.40</t>
  </si>
  <si>
    <t>02.633.67.76</t>
  </si>
  <si>
    <t>0479.70.67.76</t>
  </si>
  <si>
    <t>av. Winston Churchill, 236 B2</t>
  </si>
  <si>
    <t>0475.34.71.89</t>
  </si>
  <si>
    <t>02.358.40.24</t>
  </si>
  <si>
    <t>0475.53.30.21</t>
  </si>
  <si>
    <t>02.343.28.35</t>
  </si>
  <si>
    <t>av. de la Brise, 5</t>
  </si>
  <si>
    <t>02.358.26.45</t>
  </si>
  <si>
    <t>0475.51.49.78</t>
  </si>
  <si>
    <t>r. de Belle-Vue, 3 bte12</t>
  </si>
  <si>
    <t>0472.67.76.37</t>
  </si>
  <si>
    <t>av. des Tilleuls, 29</t>
  </si>
  <si>
    <t>02.358.44.05</t>
  </si>
  <si>
    <t>av. des Fleurs, 26</t>
  </si>
  <si>
    <t>02.731.13.80</t>
  </si>
  <si>
    <t>02.358.19.10</t>
  </si>
  <si>
    <t>02.358.42.84</t>
  </si>
  <si>
    <t>02.374.72.51</t>
  </si>
  <si>
    <t>0474.30.48.27</t>
  </si>
  <si>
    <t>av. des Cerisiers, 11</t>
  </si>
  <si>
    <t>0475.90.97.50</t>
  </si>
  <si>
    <t>02.269.50.91</t>
  </si>
  <si>
    <t>0475.78.54.05</t>
  </si>
  <si>
    <t>0478.99.47.44</t>
  </si>
  <si>
    <t>02.356.61.71</t>
  </si>
  <si>
    <t>02.687.84.33</t>
  </si>
  <si>
    <t>0474.63.80.13</t>
  </si>
  <si>
    <t>0479.46.49.43</t>
  </si>
  <si>
    <t>02.375.12.90</t>
  </si>
  <si>
    <t>0475.46.09.60</t>
  </si>
  <si>
    <t>02.351.43.48</t>
  </si>
  <si>
    <t>02.351.61.68</t>
  </si>
  <si>
    <t>0478.28.72.59</t>
  </si>
  <si>
    <t>02.354.39.13</t>
  </si>
  <si>
    <t>0475.90.57.38</t>
  </si>
  <si>
    <t>Braîne-le-Château</t>
  </si>
  <si>
    <t>02.358.28.81</t>
  </si>
  <si>
    <t>02.354.22.76</t>
  </si>
  <si>
    <t>02.343.02.72</t>
  </si>
  <si>
    <t>02.354.56.16</t>
  </si>
  <si>
    <t>02.770.91.14</t>
  </si>
  <si>
    <t>0476.83.97.60</t>
  </si>
  <si>
    <t>0477.36.78.28</t>
  </si>
  <si>
    <t>02.354.19.84</t>
  </si>
  <si>
    <t>0478.26.03.15</t>
  </si>
  <si>
    <t>02.375.43.13</t>
  </si>
  <si>
    <t>02.633.19.35</t>
  </si>
  <si>
    <t>0477.30.16.07</t>
  </si>
  <si>
    <t>0475.34.57.24</t>
  </si>
  <si>
    <t>0478.40.76.58</t>
  </si>
  <si>
    <t>02.653.25.66</t>
  </si>
  <si>
    <t>0475.84.27.07</t>
  </si>
  <si>
    <t>0494.58.65.36</t>
  </si>
  <si>
    <t>0495.10.36.27</t>
  </si>
  <si>
    <t>02.332.11.79</t>
  </si>
  <si>
    <t>02.358.36.31</t>
  </si>
  <si>
    <t>02.354.34.38</t>
  </si>
  <si>
    <t>02.648.04.17</t>
  </si>
  <si>
    <t>0477.87.63.53</t>
  </si>
  <si>
    <t>02.345.16.42</t>
  </si>
  <si>
    <t>0497.42.31.46</t>
  </si>
  <si>
    <t>02.358.26.83</t>
  </si>
  <si>
    <t>02.351.11.78</t>
  </si>
  <si>
    <t>02.354.15.32</t>
  </si>
  <si>
    <t>0475.80.25.69</t>
  </si>
  <si>
    <t>02.772.82.02</t>
  </si>
  <si>
    <t>0497.60.45.77</t>
  </si>
  <si>
    <t>02.687.50.87</t>
  </si>
  <si>
    <t>0477.29.98.03</t>
  </si>
  <si>
    <t>0476.25.93.70</t>
  </si>
  <si>
    <t>02.354.23.87</t>
  </si>
  <si>
    <t>02.654.18.07</t>
  </si>
  <si>
    <t>0476.56.09.86</t>
  </si>
  <si>
    <t>02.375.68.74</t>
  </si>
  <si>
    <t>0475.77.72.67</t>
  </si>
  <si>
    <t>02.673.18.96</t>
  </si>
  <si>
    <t>0478.40.19.07</t>
  </si>
  <si>
    <t>02.358.31.02</t>
  </si>
  <si>
    <t>0475.42.44.89</t>
  </si>
  <si>
    <t>02.354.49.65</t>
  </si>
  <si>
    <t>02.375.63.83</t>
  </si>
  <si>
    <t>0472.82.15.28</t>
  </si>
  <si>
    <t>02.380.25.54</t>
  </si>
  <si>
    <t>02.380.88.21</t>
  </si>
  <si>
    <t>0495.36.10.10</t>
  </si>
  <si>
    <t>0477.19.44.24</t>
  </si>
  <si>
    <t>02.742.32.36</t>
  </si>
  <si>
    <t>0472.98.04.59</t>
  </si>
  <si>
    <t>02.378.01.03</t>
  </si>
  <si>
    <t>0476.85.75.45</t>
  </si>
  <si>
    <t>Ohain</t>
  </si>
  <si>
    <t>02.731.18.57</t>
  </si>
  <si>
    <t>0475.40.97.52</t>
  </si>
  <si>
    <t>02.384.32.26</t>
  </si>
  <si>
    <t>0478.91.80.03</t>
  </si>
  <si>
    <t>02.354.88.47</t>
  </si>
  <si>
    <t>02.358.26.79</t>
  </si>
  <si>
    <t>0476.59.03.97</t>
  </si>
  <si>
    <t>02.347.46.22</t>
  </si>
  <si>
    <t>0472.97.05.36</t>
  </si>
  <si>
    <t>02.374.96.44</t>
  </si>
  <si>
    <t>0478.26.34.86</t>
  </si>
  <si>
    <t>0486.13.55.95</t>
  </si>
  <si>
    <t>02.375.60.71</t>
  </si>
  <si>
    <t>02.767.59.38</t>
  </si>
  <si>
    <t>02.520.98.99</t>
  </si>
  <si>
    <t>0478.30.71.17</t>
  </si>
  <si>
    <t>02.653.93.77</t>
  </si>
  <si>
    <t>av. du Castel, 13</t>
  </si>
  <si>
    <t>0477.75.30.87</t>
  </si>
  <si>
    <t>Clos du Versant,12</t>
  </si>
  <si>
    <t>av. des Châtaigniers, 3 bis</t>
  </si>
  <si>
    <t>02.358.35.88</t>
  </si>
  <si>
    <t>0475.44.44.20</t>
  </si>
  <si>
    <t>0478.80.80.81</t>
  </si>
  <si>
    <t>0472.45.24.75</t>
  </si>
  <si>
    <t>02.380.10.64</t>
  </si>
  <si>
    <t>0475.46.83.81</t>
  </si>
  <si>
    <t>02.374.37.65</t>
  </si>
  <si>
    <t>0495.25.11.22</t>
  </si>
  <si>
    <t>02.353.10.38</t>
  </si>
  <si>
    <t>02.672.24.01</t>
  </si>
  <si>
    <t>0475.90.46.46</t>
  </si>
  <si>
    <t>0479.21.51.88</t>
  </si>
  <si>
    <t>0476.54.06.19</t>
  </si>
  <si>
    <t>0477.51.22.11</t>
  </si>
  <si>
    <t>02.358.18.99</t>
  </si>
  <si>
    <t>0499.32.86.52</t>
  </si>
  <si>
    <t>0498.90.52.76</t>
  </si>
  <si>
    <t>0477.25.78.81</t>
  </si>
  <si>
    <t>Dworp</t>
  </si>
  <si>
    <t>0476.43.25.36</t>
  </si>
  <si>
    <t>0473.94.41.78</t>
  </si>
  <si>
    <t>0496.63.36.97</t>
  </si>
  <si>
    <t>0494.14.76.80</t>
  </si>
  <si>
    <t>0486.77.81.51</t>
  </si>
  <si>
    <t>0478.27.04.41</t>
  </si>
  <si>
    <t>av. de Castonnier, 46</t>
  </si>
  <si>
    <t>02.660.97.63</t>
  </si>
  <si>
    <t>0475.52.29.40</t>
  </si>
  <si>
    <t>av. Emile Van Becelaere, 121 D</t>
  </si>
  <si>
    <t>0475.48.96.88</t>
  </si>
  <si>
    <t>av. A. Schattens, 34 bte 1</t>
  </si>
  <si>
    <t>av. Elleboudt, 11</t>
  </si>
  <si>
    <t>02.375.12.74</t>
  </si>
  <si>
    <t>0475.49.33.74</t>
  </si>
  <si>
    <t>Wezembeek-Oppem</t>
  </si>
  <si>
    <t>02.376.47.16</t>
  </si>
  <si>
    <t>0470.43.11.72</t>
  </si>
  <si>
    <t>0475.46.19.81</t>
  </si>
  <si>
    <t>02.269.89.52</t>
  </si>
  <si>
    <t>0477.89.93.98</t>
  </si>
  <si>
    <t>drève des Chevreuils, 15</t>
  </si>
  <si>
    <t>02.358.41.64</t>
  </si>
  <si>
    <t>02.633.24.59</t>
  </si>
  <si>
    <t>av. des Chasseurs, 92</t>
  </si>
  <si>
    <t>02.354.05.37</t>
  </si>
  <si>
    <t>0475.67.30.61</t>
  </si>
  <si>
    <t>02.375.66.43</t>
  </si>
  <si>
    <t>0494.44.20.90</t>
  </si>
  <si>
    <t>0477.67.58.97</t>
  </si>
  <si>
    <t>02.461.36.00</t>
  </si>
  <si>
    <t>0478.29.11.73</t>
  </si>
  <si>
    <t>chaussée de Tervueren, 95B</t>
  </si>
  <si>
    <t>0495.16.56.93</t>
  </si>
  <si>
    <t>0495.23.98.82</t>
  </si>
  <si>
    <t>0478.64.40.22</t>
  </si>
  <si>
    <t>0473.17.08.85</t>
  </si>
  <si>
    <t>0473.45.05.70</t>
  </si>
  <si>
    <t>0475.28.46.44</t>
  </si>
  <si>
    <t>02.387.13.53</t>
  </si>
  <si>
    <t>0478.53.76.40</t>
  </si>
  <si>
    <t>0475.23.50.40</t>
  </si>
  <si>
    <t>02.647.27.57 Bur</t>
  </si>
  <si>
    <t>0478.39.54.49</t>
  </si>
  <si>
    <t>02.343.57.67</t>
  </si>
  <si>
    <t>0478.22.03.23</t>
  </si>
  <si>
    <t>02.374.72.74</t>
  </si>
  <si>
    <t>0479.41.81.33</t>
  </si>
  <si>
    <t>chemin du Crabbegat, 55</t>
  </si>
  <si>
    <t>02.375.29.54</t>
  </si>
  <si>
    <t>0475.98.44.55</t>
  </si>
  <si>
    <t xml:space="preserve">02.358.26.79 </t>
  </si>
  <si>
    <t>0475.28.21.36</t>
  </si>
  <si>
    <t>0475.24.30.24</t>
  </si>
  <si>
    <t>0477.34.49.14</t>
  </si>
  <si>
    <t>0486.10.76.51</t>
  </si>
  <si>
    <t>0495.21.17.73</t>
  </si>
  <si>
    <t>02.374.97.72</t>
  </si>
  <si>
    <t>0495.40.02.90</t>
  </si>
  <si>
    <t>02.358.61.84</t>
  </si>
  <si>
    <t>0477.23.14.56</t>
  </si>
  <si>
    <t>0475.75.20.86</t>
  </si>
  <si>
    <t>0476.52.31.51</t>
  </si>
  <si>
    <t>Lennik</t>
  </si>
  <si>
    <t>0473.40.44.45</t>
  </si>
  <si>
    <t>02.358.39.72</t>
  </si>
  <si>
    <t>0475.72.22.11</t>
  </si>
  <si>
    <t>0477.27.15.60</t>
  </si>
  <si>
    <t>av. de la Chenaie, 61</t>
  </si>
  <si>
    <t>0475.41.04.05</t>
  </si>
  <si>
    <t>02.380.87.63</t>
  </si>
  <si>
    <t>0479.36.08.82</t>
  </si>
  <si>
    <t>02.380.90.98</t>
  </si>
  <si>
    <t>0474.47.54.76</t>
  </si>
  <si>
    <t>0475.48.61.12</t>
  </si>
  <si>
    <t>02.344.33.81</t>
  </si>
  <si>
    <t>0473.32.57.85</t>
  </si>
  <si>
    <t>drève de Linkebeek, 17</t>
  </si>
  <si>
    <t>02.375.71.64</t>
  </si>
  <si>
    <t>0473.89.74.84</t>
  </si>
  <si>
    <t>02.762.63.77</t>
  </si>
  <si>
    <t>0479.80.30.25</t>
  </si>
  <si>
    <t>0491.73.64.24</t>
  </si>
  <si>
    <t>Rixensart</t>
  </si>
  <si>
    <t>0475.47.20.06</t>
  </si>
  <si>
    <t>0470.18.44.87</t>
  </si>
  <si>
    <t>0475.21.80.58</t>
  </si>
  <si>
    <t>0498.77.54.07</t>
  </si>
  <si>
    <t>02.358.42.54</t>
  </si>
  <si>
    <t>0477.61.44.43</t>
  </si>
  <si>
    <t>02.381.32.15</t>
  </si>
  <si>
    <t>0479.65.65.89</t>
  </si>
  <si>
    <t>0475.26.18.39</t>
  </si>
  <si>
    <t>r. Coleau, 46</t>
  </si>
  <si>
    <t>0496.59.05.70</t>
  </si>
  <si>
    <t>0475.79.43.49</t>
  </si>
  <si>
    <t>02.354.33.12</t>
  </si>
  <si>
    <t>0479.27.25.20</t>
  </si>
  <si>
    <t>02.354.19.47</t>
  </si>
  <si>
    <t>0477.35.69.82</t>
  </si>
  <si>
    <t>02.387.01.46</t>
  </si>
  <si>
    <t>0478.41.00.68</t>
  </si>
  <si>
    <t xml:space="preserve">chemin de Messe, 4 </t>
  </si>
  <si>
    <t>Vieux-Genappe</t>
  </si>
  <si>
    <t>067.22.12.89</t>
  </si>
  <si>
    <t>Zaventem</t>
  </si>
  <si>
    <t>Les Colverts, Kleine Daal,90</t>
  </si>
  <si>
    <t>0473.50.24.33</t>
  </si>
  <si>
    <t>Luxembourg</t>
  </si>
  <si>
    <t>0495.79.24.19</t>
  </si>
  <si>
    <t>Obberg, 152</t>
  </si>
  <si>
    <t>av. des Narcisses, 1</t>
  </si>
  <si>
    <t>r. Roberts-Jones, 17</t>
  </si>
  <si>
    <t>Heren van Witthemlaan, 13</t>
  </si>
  <si>
    <t>drève du Triage de la Bruyère,11</t>
  </si>
  <si>
    <t>r. Fossé au Sable, 33</t>
  </si>
  <si>
    <t>av. du Parc, 29</t>
  </si>
  <si>
    <t>clos de l'Ermite, 5</t>
  </si>
  <si>
    <t>av. des Lucioles, 40</t>
  </si>
  <si>
    <t>av. Château de  Walzin,12 bte25</t>
  </si>
  <si>
    <t>av. Simonne, 27</t>
  </si>
  <si>
    <t>av. Grand Air, 13</t>
  </si>
  <si>
    <t>r. de la Seconde Reine, 24</t>
  </si>
  <si>
    <t>r. Copernic, 6a</t>
  </si>
  <si>
    <t>av. Camille Lemonnier, 70</t>
  </si>
  <si>
    <t>rue de Percke, 52</t>
  </si>
  <si>
    <t>Boterbloemlaan, 1</t>
  </si>
  <si>
    <t>av. des Bécasses, 2</t>
  </si>
  <si>
    <t>av. du Manoir, 19</t>
  </si>
  <si>
    <t>r. Tenbroek, 25 B</t>
  </si>
  <si>
    <t>r. St. Nicolas, 4</t>
  </si>
  <si>
    <t>Kruiskouterstraat, 70</t>
  </si>
  <si>
    <t>av. Bonaparte, 69</t>
  </si>
  <si>
    <t>chemin du Crabbegat, 53</t>
  </si>
  <si>
    <t>av. Fr. Roosevelt, 135 bte.32</t>
  </si>
  <si>
    <t>av. Ch. Michiels, 174</t>
  </si>
  <si>
    <t>av. d'Hougoumont, 29 a</t>
  </si>
  <si>
    <t>av. des Phalènes, 19</t>
  </si>
  <si>
    <t>av. de l'Orée, 9</t>
  </si>
  <si>
    <t>Wolfpoortstr. 36</t>
  </si>
  <si>
    <t>av. du Prince d'Orange, 46</t>
  </si>
  <si>
    <t>Bloemendal, 17</t>
  </si>
  <si>
    <t>av. du Mont Marcure, 45</t>
  </si>
  <si>
    <t>chaussée de Waterloo, 922</t>
  </si>
  <si>
    <t>drève des Châtaigniers, 9</t>
  </si>
  <si>
    <t>r. Saint-Saëns, 12</t>
  </si>
  <si>
    <t>chem. du Bois de Clabecq, 10</t>
  </si>
  <si>
    <t>r. Louis Hymans, 29</t>
  </si>
  <si>
    <t>av. de l'Observatoire, 11e</t>
  </si>
  <si>
    <t>av. des Bouleaux, 19</t>
  </si>
  <si>
    <t>av. du Vallon, 4</t>
  </si>
  <si>
    <t>chemin du Roussart, 48</t>
  </si>
  <si>
    <t>Wouterbos, 27</t>
  </si>
  <si>
    <t>chem. de Ransbeck, 11</t>
  </si>
  <si>
    <t>r. du Doyenné, 110</t>
  </si>
  <si>
    <t>av. du Manoir, 64</t>
  </si>
  <si>
    <t>av. Montjoie, 293</t>
  </si>
  <si>
    <t>av. des Tilleuls, 24</t>
  </si>
  <si>
    <t>chem. des Voiturons, 111</t>
  </si>
  <si>
    <t>Van Malderlaan, 85</t>
  </si>
  <si>
    <t>square des Archiducs, 8</t>
  </si>
  <si>
    <t>av. des Buissons, 35</t>
  </si>
  <si>
    <t>av. de la Ramée, 48</t>
  </si>
  <si>
    <t>av. Clémentine, 21</t>
  </si>
  <si>
    <t>rue du Moulin, 5A/02</t>
  </si>
  <si>
    <t>drève des Pins, 7</t>
  </si>
  <si>
    <t>av. Hamoir, 37c</t>
  </si>
  <si>
    <t>rue d'Angoussart, 161</t>
  </si>
  <si>
    <t>Clos du Belloi, 9</t>
  </si>
  <si>
    <t xml:space="preserve">        ---</t>
  </si>
  <si>
    <t>0475.28.90.77</t>
  </si>
  <si>
    <t xml:space="preserve"> </t>
  </si>
  <si>
    <t>Fed nbr</t>
  </si>
  <si>
    <t>av. des Bleuets, 16</t>
  </si>
  <si>
    <t>av. Marie-Jeanne, 15</t>
  </si>
  <si>
    <t>0475.21.02.88</t>
  </si>
  <si>
    <t>av. Louise, 288</t>
  </si>
  <si>
    <t>av. du Directoire, 85</t>
  </si>
  <si>
    <t>02.375.78.92</t>
  </si>
  <si>
    <t>0486.76.82.62</t>
  </si>
  <si>
    <t>av. Louis David, 23</t>
  </si>
  <si>
    <t>02.387.50.38</t>
  </si>
  <si>
    <t>0475.54.91.42</t>
  </si>
  <si>
    <t>m.annez@skynet.be ;</t>
  </si>
  <si>
    <t>nanou@expect.be ;</t>
  </si>
  <si>
    <t>arnoux@cegetel.net ;</t>
  </si>
  <si>
    <t>michelle.barroy@skynet.be ;</t>
  </si>
  <si>
    <t>sabine.bataille@skynet.be ;</t>
  </si>
  <si>
    <t>f.berryer@belgacom.net ;</t>
  </si>
  <si>
    <t>pol.blaimont@skynet.be ;</t>
  </si>
  <si>
    <t>blummariepaule@gmail.com ;</t>
  </si>
  <si>
    <t>eb@praetica.com ;</t>
  </si>
  <si>
    <t>immobol@skynet.be ;</t>
  </si>
  <si>
    <t>boduard@gmail.com ;</t>
  </si>
  <si>
    <t>beabouquet@hotmail.com ;</t>
  </si>
  <si>
    <t>jacques.brabant@skynet.be ;</t>
  </si>
  <si>
    <t>jamg.eur@skynet.be ;</t>
  </si>
  <si>
    <t>braem.francine@skynet.be ;</t>
  </si>
  <si>
    <t>raoul.brancart@skynet.be ;</t>
  </si>
  <si>
    <t>chantal.brasseur@mac.com ;</t>
  </si>
  <si>
    <t>francis.bries@skynet.be ;</t>
  </si>
  <si>
    <t>lescalas@skynet.be ;</t>
  </si>
  <si>
    <t>gcannio@ip-worldcom.ch ;</t>
  </si>
  <si>
    <t>lyss.carreau@4email.org ;</t>
  </si>
  <si>
    <t>ncaustur@skynet.be ;</t>
  </si>
  <si>
    <t>catherine@contactoffice.be ;</t>
  </si>
  <si>
    <t>chim@skynet.be ;</t>
  </si>
  <si>
    <t>clerckx.ernest@skynet.be ;</t>
  </si>
  <si>
    <t>gastoncoene@skynet.be ;</t>
  </si>
  <si>
    <t>gaius.conreur@gmail.com ;</t>
  </si>
  <si>
    <t>l.e.batenburg@gmail.com ;</t>
  </si>
  <si>
    <t>micheline_gautier@hotmail.com ;</t>
  </si>
  <si>
    <t>idanstaing@telenet.be ;</t>
  </si>
  <si>
    <t>regine.dauwe@skynet.be ;</t>
  </si>
  <si>
    <t>elyane@debassompierre.be ;</t>
  </si>
  <si>
    <t>jj@debassompierre.be ;</t>
  </si>
  <si>
    <t>jeandebeco@skynet.be ;</t>
  </si>
  <si>
    <t>declercqr@outlook.com ;</t>
  </si>
  <si>
    <t>annedecooman@skynet.be ;</t>
  </si>
  <si>
    <t>thierrydede@yahoo.fr ;</t>
  </si>
  <si>
    <t>arnauddegalard@voo.be ;</t>
  </si>
  <si>
    <t>fdegouss@hotmail.com ;</t>
  </si>
  <si>
    <t>frmh@skynet.be ;</t>
  </si>
  <si>
    <t>gilles.dml@gmail.com ;</t>
  </si>
  <si>
    <t>jacqdepatoul@hotmail.com ;</t>
  </si>
  <si>
    <t>thdepatoul@gmail.com ;</t>
  </si>
  <si>
    <t>michel.de.sauvage@gmail.com ;</t>
  </si>
  <si>
    <t>vdesau@gmail.com ;</t>
  </si>
  <si>
    <t>annchantal@gmail.com ;</t>
  </si>
  <si>
    <t>patricknewstart@gmail.com ;</t>
  </si>
  <si>
    <t>louis.devos@pandora.be ;</t>
  </si>
  <si>
    <t>mcdevos@mail.be ;</t>
  </si>
  <si>
    <t>annemarie.debaeke@gmail.com ;</t>
  </si>
  <si>
    <t>debaeke.etienne@gmail.com ;</t>
  </si>
  <si>
    <t>debaeke.pierre@skynet.be ;</t>
  </si>
  <si>
    <t>ddefosse@skynet.be ;</t>
  </si>
  <si>
    <t>bdelhaize@gmail.com ;</t>
  </si>
  <si>
    <t>jldelhove@yahoo.com ;</t>
  </si>
  <si>
    <t>ch.denis.08@skynet.be ;</t>
  </si>
  <si>
    <t>joelle.godts@skynet.be ;</t>
  </si>
  <si>
    <t>rjc@skynet.be ;</t>
  </si>
  <si>
    <t>tdewavrin@gmail.com ;</t>
  </si>
  <si>
    <t>myl@skynet.be ;</t>
  </si>
  <si>
    <t>dhertep@brutele.be ;</t>
  </si>
  <si>
    <t>fran.dierckx@skynet.be ;</t>
  </si>
  <si>
    <t>ghislaine.dierckx@gmail.com ;</t>
  </si>
  <si>
    <t>marilenad@skynet.be ;</t>
  </si>
  <si>
    <t>lp.doreye@skynet.be ;</t>
  </si>
  <si>
    <t>ines.drory@skynet.be ;</t>
  </si>
  <si>
    <t>ghislain.dubois@skynet.be ;</t>
  </si>
  <si>
    <t>jp-dubois@skynet.be ;</t>
  </si>
  <si>
    <t>xavierleonce.dubois@gmail.com ;</t>
  </si>
  <si>
    <t>viviane.verschueren@gmail.com ;</t>
  </si>
  <si>
    <t>mary.duchateau@skynet.be ;</t>
  </si>
  <si>
    <t>marie.dum@skynet.be ;</t>
  </si>
  <si>
    <t>paul.dum@skynet.be ;</t>
  </si>
  <si>
    <t>durant.hiblot@skynet.be ;</t>
  </si>
  <si>
    <t>jacquesdyk@skynet.be ;</t>
  </si>
  <si>
    <t>emmerechts.yves@numericable.be ;</t>
  </si>
  <si>
    <t>jpfevrier@skynet.be ;</t>
  </si>
  <si>
    <t>chrisverhoeven@telenet.be ;</t>
  </si>
  <si>
    <t>maryfohal@gmail.com ;</t>
  </si>
  <si>
    <t>guy.fonteyne@gmail.com ;</t>
  </si>
  <si>
    <t>sonforster@hotmail.com ;</t>
  </si>
  <si>
    <t>robert.furdelle@skynet.be ;</t>
  </si>
  <si>
    <t>amgarnier@voo.be ;</t>
  </si>
  <si>
    <t>axel.geelhand@gmail.com ;</t>
  </si>
  <si>
    <t>yvelineolin@gmail.com ;</t>
  </si>
  <si>
    <t>francis.gersdorff@gmail.com ;</t>
  </si>
  <si>
    <t>miroska@live.be ;</t>
  </si>
  <si>
    <t>cadou.gilles@gmail.com ;</t>
  </si>
  <si>
    <t>gilles.martine@gmail.com ;</t>
  </si>
  <si>
    <t>patgilles@voo.be ;</t>
  </si>
  <si>
    <t>jgillet@skynet.be ;</t>
  </si>
  <si>
    <t>christa.gleichmann@telenet.be ;</t>
  </si>
  <si>
    <t>goethals.anciaux@skynet.be ;</t>
  </si>
  <si>
    <t>rgoethals@scarlet.be ;</t>
  </si>
  <si>
    <t>sylviegontard@skynet.be ;</t>
  </si>
  <si>
    <t>louisgraux@skynet.be ;</t>
  </si>
  <si>
    <t>norbert.gresch@skynet.be ;</t>
  </si>
  <si>
    <t>danielguibert@skynet.be ;</t>
  </si>
  <si>
    <t>halbart.fernand@gmail.com ;</t>
  </si>
  <si>
    <t>heinemann.jeanmarie@me.com ;</t>
  </si>
  <si>
    <t>marchdef@hotmail.com ;</t>
  </si>
  <si>
    <t>henry.genevieve01@gmail.com ;</t>
  </si>
  <si>
    <t>herman.hensen@scarlet.be ;</t>
  </si>
  <si>
    <t>mherpain@mac.com ;</t>
  </si>
  <si>
    <t>sherpain@herpain.be ;</t>
  </si>
  <si>
    <t>sylvianehorekens@gmail.com ;</t>
  </si>
  <si>
    <t>patrick.horlait@skynet.be ;</t>
  </si>
  <si>
    <t>jeanjjacobs@gmail.com ;</t>
  </si>
  <si>
    <t>sylvianejacobs@gmail.com ;</t>
  </si>
  <si>
    <t>empidjie@hotmail.com ;</t>
  </si>
  <si>
    <t>philippe.jadoulle@skynet.be ;</t>
  </si>
  <si>
    <t>francoisejanati@hotmail.com ;</t>
  </si>
  <si>
    <t>mariapiajanssens@gmail.com ;</t>
  </si>
  <si>
    <t>jpjean@skynet.be ;</t>
  </si>
  <si>
    <t>michele.jean1@gmail.com ;</t>
  </si>
  <si>
    <t>carole.jemelka@live.be ;</t>
  </si>
  <si>
    <t>ben1albatross@skynet.be ;</t>
  </si>
  <si>
    <t>ckrick@media-globe.com ;</t>
  </si>
  <si>
    <t>lagrange-berge@skynet.be ;</t>
  </si>
  <si>
    <t>i.hafele@belgacom.net ;</t>
  </si>
  <si>
    <t>jalambert@skynet.be ;</t>
  </si>
  <si>
    <t>christinelebailly@gmail.com ;</t>
  </si>
  <si>
    <t>jean.claude.lefe@gmail.com ;</t>
  </si>
  <si>
    <t>eric.lemaire@skynet.be ;</t>
  </si>
  <si>
    <t>didier_linard@hotmail.com ;</t>
  </si>
  <si>
    <t>nicolevdhaert@hotmail.com ;</t>
  </si>
  <si>
    <t>christiane.linet@wwf.be ;</t>
  </si>
  <si>
    <t>th.matthews@hotmail.com ;</t>
  </si>
  <si>
    <t>genlouveaux@yahoo.fr ;</t>
  </si>
  <si>
    <t>louveauxkenneth@skynet.be ;</t>
  </si>
  <si>
    <t>jeanninelutz1@hotmail.com ;</t>
  </si>
  <si>
    <t>jeanpierre.macken@hotmail.com ;</t>
  </si>
  <si>
    <t>louismaertens@hotmail.com ;</t>
  </si>
  <si>
    <t>jp.malherbe@gmail.com ;</t>
  </si>
  <si>
    <t>mancaux@hotmail.com ;</t>
  </si>
  <si>
    <t>anne.marquet@gmail.com ;</t>
  </si>
  <si>
    <t>fr.mayne@skynet.be ;</t>
  </si>
  <si>
    <t>jacques@meilleur.be ;</t>
  </si>
  <si>
    <t>jany.meilleur@me.com ;</t>
  </si>
  <si>
    <t>brigittemoreau@tvcablenet.be ;</t>
  </si>
  <si>
    <t>aaapr@skynet.be ;</t>
  </si>
  <si>
    <t>mostertray@gmail.com ;</t>
  </si>
  <si>
    <t>danielle.moucq@skynet.be ;</t>
  </si>
  <si>
    <t>thierry.naze@me.com ;</t>
  </si>
  <si>
    <t>albertneve@skynet.be ;</t>
  </si>
  <si>
    <t>aorban1@yucom.be ;</t>
  </si>
  <si>
    <t>dorban@yucom.be ;</t>
  </si>
  <si>
    <t>ruth@linksystems.be ;</t>
  </si>
  <si>
    <t>ansjeparis@yahoo.com ;</t>
  </si>
  <si>
    <t>chpasini@hotmail.com ;</t>
  </si>
  <si>
    <t>claire.flamand@skynet.be ;</t>
  </si>
  <si>
    <t>powie.one@gmail.com ;</t>
  </si>
  <si>
    <t>christiane_mainjot@hotmail.com ;</t>
  </si>
  <si>
    <t>parrasonia56@yahoo.fr ;</t>
  </si>
  <si>
    <t>moniquepierrard@yahoo.fr ;</t>
  </si>
  <si>
    <t>plumerel@tvcablenet.be ;</t>
  </si>
  <si>
    <t>huguette.poll@yahoo.fr ;</t>
  </si>
  <si>
    <t>gisele.deschryver@gmail.com ;</t>
  </si>
  <si>
    <t>yvan.prosman@telenet.be ;</t>
  </si>
  <si>
    <t>qua@skynet.be ;</t>
  </si>
  <si>
    <t>w.qua@skynet.be ;</t>
  </si>
  <si>
    <t>yoostens@gmail.com ;</t>
  </si>
  <si>
    <t>beauragbir@gmail.com ;</t>
  </si>
  <si>
    <t>mireille@scohy.be ;</t>
  </si>
  <si>
    <t>nadine.jas@gmail.com ;</t>
  </si>
  <si>
    <t>roger.ser@skynet.be ;</t>
  </si>
  <si>
    <t>isa.s@skynet.be ;</t>
  </si>
  <si>
    <t>ysim@skynet.be ;</t>
  </si>
  <si>
    <t>daniel.slits@gmail.com ;</t>
  </si>
  <si>
    <t>smeyers.bf@skynet.be ;</t>
  </si>
  <si>
    <t>dominique.standaert@numericable.be ;</t>
  </si>
  <si>
    <t>etienne.soetens@numericable.be ;</t>
  </si>
  <si>
    <t>corine.sohet@gmail.com ;</t>
  </si>
  <si>
    <t>martinestas@yahoo.fr ;</t>
  </si>
  <si>
    <t>anniesteyaert@gmail.com ;</t>
  </si>
  <si>
    <t>guyedouard.steyaert@skynet.be ;</t>
  </si>
  <si>
    <t>s.stroinovsky@skynet.be ;</t>
  </si>
  <si>
    <t>catherinerallion@gmail.com ;</t>
  </si>
  <si>
    <t>musystermans@hotmail.com ;</t>
  </si>
  <si>
    <t>rene.taildeman@skynet.be ;</t>
  </si>
  <si>
    <t>paul.terlinck@gmail.com ;</t>
  </si>
  <si>
    <t>simonne.tevels@gmail.com ;</t>
  </si>
  <si>
    <t>gerard.teychene@gmail.com ;</t>
  </si>
  <si>
    <t>inesfreisberg@gmail.com ;</t>
  </si>
  <si>
    <t>pierre.thys1@gmail.com ;</t>
  </si>
  <si>
    <t>timmermans.jp@skynet.be ;</t>
  </si>
  <si>
    <t>alainvaes@yahoo.com ;</t>
  </si>
  <si>
    <t>evandevenne@skynet.be ;</t>
  </si>
  <si>
    <t>clvandamme@gmail.com ;</t>
  </si>
  <si>
    <t>georges.vanderborght@skynet.be ;</t>
  </si>
  <si>
    <t>kristindhoore@hotmail.com ;</t>
  </si>
  <si>
    <t>mdvanderkelen@skynet.be ;</t>
  </si>
  <si>
    <t>philippe.vandoo@gmail.com ;</t>
  </si>
  <si>
    <t>annedebie@hotmail.com ;</t>
  </si>
  <si>
    <t>pvha@skynet.be ;</t>
  </si>
  <si>
    <t>mvanhoutryve@hotmail.com ;</t>
  </si>
  <si>
    <t>fvanschoonbeek@skynet.be ;</t>
  </si>
  <si>
    <t>francinevanschoote@telenet.be ;</t>
  </si>
  <si>
    <t>jean-claude.vandenbosch@skynet.be ;</t>
  </si>
  <si>
    <t>cecile.vanderborght@uclouvain.be ;</t>
  </si>
  <si>
    <t>alainvdelst@skynet.be ;</t>
  </si>
  <si>
    <t>p.vdk@juridica.be ;</t>
  </si>
  <si>
    <t>gvax@skynet.be ;</t>
  </si>
  <si>
    <t>nicole.verhaeghe99@gmail.com ;</t>
  </si>
  <si>
    <t>alainverhest@yahoo.com ;</t>
  </si>
  <si>
    <t>francois.vermer@skynet.be ;</t>
  </si>
  <si>
    <t>olivier@verolafamily.be ;</t>
  </si>
  <si>
    <t>alexis.verougstraete@skynet.be ;</t>
  </si>
  <si>
    <t>cecileverougstraete@skynet.be ;</t>
  </si>
  <si>
    <t>lucinge@hotmail.com ;</t>
  </si>
  <si>
    <t>martine_das@hotmail.com ;</t>
  </si>
  <si>
    <t>philippe.voortman@gmail.com ;</t>
  </si>
  <si>
    <t>irene@voute.be ;</t>
  </si>
  <si>
    <t>katwag@skynet.be ;</t>
  </si>
  <si>
    <t>danielle.walravens@skynet.be ;</t>
  </si>
  <si>
    <t>vivianeweber@yahoo.fr ;</t>
  </si>
  <si>
    <t>bernhard.wehrens@telenet.be ;</t>
  </si>
  <si>
    <t>mirene.wehrens@telenet.be ;</t>
  </si>
  <si>
    <t>klaus.wendel@gmail.com ;</t>
  </si>
  <si>
    <t>danielwilberz@hotmail.com ;</t>
  </si>
  <si>
    <t>france@winssinger.com ;</t>
  </si>
  <si>
    <t>fwisnia@scarlet.be ;</t>
  </si>
  <si>
    <t>jeanine.zody@gmail.com ;</t>
  </si>
  <si>
    <t>ID</t>
  </si>
  <si>
    <t>Mr</t>
  </si>
  <si>
    <t>Mme</t>
  </si>
  <si>
    <t>Everberg</t>
  </si>
  <si>
    <t>02.757.02.46</t>
  </si>
  <si>
    <t>0476.60.09.44</t>
  </si>
  <si>
    <t xml:space="preserve">         E-MAIL</t>
  </si>
  <si>
    <t>0475.34.82.53</t>
  </si>
  <si>
    <t>chauss. d'Alsemberg, 837</t>
  </si>
  <si>
    <t>02.649.33.23</t>
  </si>
  <si>
    <t>0473.54.56.34</t>
  </si>
  <si>
    <t>av. des Aubépines, 88</t>
  </si>
  <si>
    <t>02.351.08.80</t>
  </si>
  <si>
    <t>0475.41.96.65</t>
  </si>
  <si>
    <t>av. de la Forêt, 8</t>
  </si>
  <si>
    <t>02.675.10.22</t>
  </si>
  <si>
    <t>0473.40.19.54</t>
  </si>
  <si>
    <t>0472.66.01.77</t>
  </si>
  <si>
    <t>02.360.15.02</t>
  </si>
  <si>
    <t>av. des Chênes, 49</t>
  </si>
  <si>
    <t>02.538.24.10</t>
  </si>
  <si>
    <t>0475.29.64.37</t>
  </si>
  <si>
    <t>r. de la Bruyère, 33</t>
  </si>
  <si>
    <t>Genval</t>
  </si>
  <si>
    <t>02.654.08.37</t>
  </si>
  <si>
    <t>0473.88.31.07</t>
  </si>
  <si>
    <t>av. des Chevaliers de Malte, 3</t>
  </si>
  <si>
    <t>02.384.28.72</t>
  </si>
  <si>
    <t>0496.25.27.08</t>
  </si>
  <si>
    <t>r. Copernic, 6F</t>
  </si>
  <si>
    <t>02.375.18.31</t>
  </si>
  <si>
    <t>0473.32.36.03</t>
  </si>
  <si>
    <t>av. de la Sapinière, 51 b</t>
  </si>
  <si>
    <t>0475.42.83.85</t>
  </si>
  <si>
    <t>av. de Foestraets, 20</t>
  </si>
  <si>
    <t>0475.43.30.11</t>
  </si>
  <si>
    <t>Delta en PCT</t>
  </si>
  <si>
    <t>av. du Prieuré, 17</t>
  </si>
  <si>
    <t>02.380.30.60</t>
  </si>
  <si>
    <t>0475.73.52.18</t>
  </si>
  <si>
    <t>0477.35.98.11</t>
  </si>
  <si>
    <t>C.P.</t>
  </si>
  <si>
    <t>isa.debeir@gmail.com ;</t>
  </si>
  <si>
    <t>michel.kahan@skynet.be ;</t>
  </si>
  <si>
    <t>georges.meert@telenet.be ;</t>
  </si>
  <si>
    <t>patricia.meert-becker@telenet.be ;</t>
  </si>
  <si>
    <t>michel.screvens@gmail.com ;</t>
  </si>
  <si>
    <t>hcp actuel</t>
  </si>
  <si>
    <t>jdefailly@gmail.com ;</t>
  </si>
  <si>
    <t>erreramarc@gmail.com ;</t>
  </si>
  <si>
    <t>axelle.goubau@telenet.be ;</t>
  </si>
  <si>
    <t>louise.herman@numericable.be ;</t>
  </si>
  <si>
    <t>christine.letreguilly@gmail.com ;</t>
  </si>
  <si>
    <t>annetombeur1@gmail.com ;</t>
  </si>
  <si>
    <t xml:space="preserve">ANNEZ de TABOADA </t>
  </si>
  <si>
    <t>Michel</t>
  </si>
  <si>
    <t xml:space="preserve">ANSIAUX </t>
  </si>
  <si>
    <t>Nanou</t>
  </si>
  <si>
    <t xml:space="preserve">ARNOUX </t>
  </si>
  <si>
    <t>Eric</t>
  </si>
  <si>
    <t xml:space="preserve">BARROY </t>
  </si>
  <si>
    <t>Michelle</t>
  </si>
  <si>
    <t>BATAILLE de LONGPREY</t>
  </si>
  <si>
    <t>BERRYER</t>
  </si>
  <si>
    <t xml:space="preserve">BLAIMONT </t>
  </si>
  <si>
    <t>Pol</t>
  </si>
  <si>
    <t xml:space="preserve">BLUM </t>
  </si>
  <si>
    <t>Marie-Paule</t>
  </si>
  <si>
    <t>Michele</t>
  </si>
  <si>
    <t>Jacques</t>
  </si>
  <si>
    <t>Eduard</t>
  </si>
  <si>
    <t>Béatrice</t>
  </si>
  <si>
    <t>Francine</t>
  </si>
  <si>
    <t>Lucienne</t>
  </si>
  <si>
    <t>Chantal</t>
  </si>
  <si>
    <t>Francis</t>
  </si>
  <si>
    <t>Gérard</t>
  </si>
  <si>
    <t>Damien</t>
  </si>
  <si>
    <t>Martine</t>
  </si>
  <si>
    <t>Alain</t>
  </si>
  <si>
    <t>Frank</t>
  </si>
  <si>
    <t xml:space="preserve">BOIGELOT </t>
  </si>
  <si>
    <t>BOLLE</t>
  </si>
  <si>
    <t xml:space="preserve">BOSCHLOOS </t>
  </si>
  <si>
    <t>BOUQUET</t>
  </si>
  <si>
    <t xml:space="preserve">BRABANT </t>
  </si>
  <si>
    <t xml:space="preserve">BRAEKMAN </t>
  </si>
  <si>
    <t xml:space="preserve">BRAEM </t>
  </si>
  <si>
    <t xml:space="preserve">BRANCART </t>
  </si>
  <si>
    <t xml:space="preserve">BRASSEUR </t>
  </si>
  <si>
    <t>BRIES</t>
  </si>
  <si>
    <t xml:space="preserve">CALAS </t>
  </si>
  <si>
    <t xml:space="preserve">CANNIO </t>
  </si>
  <si>
    <t xml:space="preserve">CAREME </t>
  </si>
  <si>
    <t xml:space="preserve">CARNIOL </t>
  </si>
  <si>
    <t>Lyss</t>
  </si>
  <si>
    <t>Nadine</t>
  </si>
  <si>
    <t>Serge</t>
  </si>
  <si>
    <t>Paul</t>
  </si>
  <si>
    <t>Ariane</t>
  </si>
  <si>
    <t>Anita</t>
  </si>
  <si>
    <t>Haig Peter</t>
  </si>
  <si>
    <t>Marc</t>
  </si>
  <si>
    <t>Ernest</t>
  </si>
  <si>
    <t>Gaston</t>
  </si>
  <si>
    <t>Guy</t>
  </si>
  <si>
    <t>Louise</t>
  </si>
  <si>
    <t>Micheline</t>
  </si>
  <si>
    <t>Christiane</t>
  </si>
  <si>
    <t>Idès</t>
  </si>
  <si>
    <t>Thérèse</t>
  </si>
  <si>
    <t xml:space="preserve">CARREAU </t>
  </si>
  <si>
    <t xml:space="preserve">CAUSTUR </t>
  </si>
  <si>
    <t xml:space="preserve">CHARON </t>
  </si>
  <si>
    <t xml:space="preserve">CHEREQUEFOSSE </t>
  </si>
  <si>
    <t>CHIMCHIRIAN</t>
  </si>
  <si>
    <t xml:space="preserve">CLERCKX </t>
  </si>
  <si>
    <t xml:space="preserve">COENE </t>
  </si>
  <si>
    <t xml:space="preserve">CONREUR </t>
  </si>
  <si>
    <t xml:space="preserve">COPPENS </t>
  </si>
  <si>
    <t xml:space="preserve">CRAENHALS </t>
  </si>
  <si>
    <t xml:space="preserve">DAGNELIE </t>
  </si>
  <si>
    <t xml:space="preserve">d'ANSTAING </t>
  </si>
  <si>
    <t xml:space="preserve">DAUWE </t>
  </si>
  <si>
    <t>Régine</t>
  </si>
  <si>
    <t>Elyane</t>
  </si>
  <si>
    <t>Jean-Jacques</t>
  </si>
  <si>
    <t>Jean</t>
  </si>
  <si>
    <t>Isabelle</t>
  </si>
  <si>
    <t>Maggy</t>
  </si>
  <si>
    <t>Robert</t>
  </si>
  <si>
    <t>Anne</t>
  </si>
  <si>
    <t>Thierry</t>
  </si>
  <si>
    <t>Jean Pierre</t>
  </si>
  <si>
    <t>Arnaud</t>
  </si>
  <si>
    <t>Françoise</t>
  </si>
  <si>
    <t>Véronique</t>
  </si>
  <si>
    <t>François</t>
  </si>
  <si>
    <t>Gilles</t>
  </si>
  <si>
    <t>Jacqueline</t>
  </si>
  <si>
    <t>Anne-Chantal</t>
  </si>
  <si>
    <t>Patrick</t>
  </si>
  <si>
    <t>Marie-Claude</t>
  </si>
  <si>
    <t>Anne-Marie</t>
  </si>
  <si>
    <t xml:space="preserve">de BASSOMPIERRE </t>
  </si>
  <si>
    <t xml:space="preserve">de BECO </t>
  </si>
  <si>
    <t>DE BEIR</t>
  </si>
  <si>
    <t>DE CLERCQ</t>
  </si>
  <si>
    <t>de COOMAN</t>
  </si>
  <si>
    <t>DE DECKER</t>
  </si>
  <si>
    <t xml:space="preserve">de FAILLY </t>
  </si>
  <si>
    <t>de GALARD de BEARN</t>
  </si>
  <si>
    <t>de GOUSSENCOURT</t>
  </si>
  <si>
    <t xml:space="preserve">de MUYSER LANTWYCK </t>
  </si>
  <si>
    <t xml:space="preserve">de PATOUL </t>
  </si>
  <si>
    <t>de SAUVAGE</t>
  </si>
  <si>
    <t xml:space="preserve">de SAUVAGE </t>
  </si>
  <si>
    <t>DE VOS</t>
  </si>
  <si>
    <t xml:space="preserve">DE VOS </t>
  </si>
  <si>
    <t xml:space="preserve">DEBAEKE </t>
  </si>
  <si>
    <t>DEBAEKE</t>
  </si>
  <si>
    <t>Etienne</t>
  </si>
  <si>
    <t>Pierre</t>
  </si>
  <si>
    <t>Denis</t>
  </si>
  <si>
    <t>Christian</t>
  </si>
  <si>
    <t>Joëlle</t>
  </si>
  <si>
    <t>Josette</t>
  </si>
  <si>
    <t>Diane</t>
  </si>
  <si>
    <t>Tony</t>
  </si>
  <si>
    <t>Paulette</t>
  </si>
  <si>
    <t>Ghislaine</t>
  </si>
  <si>
    <t>Marilena</t>
  </si>
  <si>
    <t>Claire</t>
  </si>
  <si>
    <t>Louis</t>
  </si>
  <si>
    <t>Ines</t>
  </si>
  <si>
    <t>Ghislain</t>
  </si>
  <si>
    <t>Jean-Pierre</t>
  </si>
  <si>
    <t>Maire-France</t>
  </si>
  <si>
    <t>Sabine</t>
  </si>
  <si>
    <t>Viviane</t>
  </si>
  <si>
    <t>Xavier</t>
  </si>
  <si>
    <t>Mary</t>
  </si>
  <si>
    <t>Marie</t>
  </si>
  <si>
    <t>Yolande</t>
  </si>
  <si>
    <t>Yves</t>
  </si>
  <si>
    <t>Sieglinde</t>
  </si>
  <si>
    <t>Kenneth</t>
  </si>
  <si>
    <t>Axel</t>
  </si>
  <si>
    <t>Yveline</t>
  </si>
  <si>
    <t>d'OREYE de LANTREMANGE</t>
  </si>
  <si>
    <t xml:space="preserve">DRORY </t>
  </si>
  <si>
    <t>DUBOIS</t>
  </si>
  <si>
    <t xml:space="preserve">DUCHATEAU </t>
  </si>
  <si>
    <t>DUMONT</t>
  </si>
  <si>
    <t xml:space="preserve">DUMONT </t>
  </si>
  <si>
    <t>DURANT</t>
  </si>
  <si>
    <t>DYKMANS</t>
  </si>
  <si>
    <t xml:space="preserve">EMMERECHTS </t>
  </si>
  <si>
    <t xml:space="preserve">ERRERA </t>
  </si>
  <si>
    <t>FEVRIER</t>
  </si>
  <si>
    <t xml:space="preserve">FLORENTIN </t>
  </si>
  <si>
    <t>FOHAL</t>
  </si>
  <si>
    <t xml:space="preserve">FONTEYNE </t>
  </si>
  <si>
    <t>FORSTER</t>
  </si>
  <si>
    <t>FOURGON</t>
  </si>
  <si>
    <t>FURDELLE</t>
  </si>
  <si>
    <t xml:space="preserve">GARNIER </t>
  </si>
  <si>
    <t xml:space="preserve">GEELHAND de MERXEM </t>
  </si>
  <si>
    <t>Herman</t>
  </si>
  <si>
    <t>Mireille</t>
  </si>
  <si>
    <t>André</t>
  </si>
  <si>
    <t>Jean-François</t>
  </si>
  <si>
    <t>Nicole</t>
  </si>
  <si>
    <t>Christa</t>
  </si>
  <si>
    <t>Sylvie</t>
  </si>
  <si>
    <t>Axelle</t>
  </si>
  <si>
    <t>Norbert</t>
  </si>
  <si>
    <t>Daniel</t>
  </si>
  <si>
    <t>Fernand</t>
  </si>
  <si>
    <t>Gerda</t>
  </si>
  <si>
    <t>Edith</t>
  </si>
  <si>
    <t>Henry</t>
  </si>
  <si>
    <t>Geneviève</t>
  </si>
  <si>
    <t>Itta</t>
  </si>
  <si>
    <t>Michèle</t>
  </si>
  <si>
    <t>GERSDORFF</t>
  </si>
  <si>
    <t xml:space="preserve">GHUYS </t>
  </si>
  <si>
    <t>GILLES</t>
  </si>
  <si>
    <t>GILLET</t>
  </si>
  <si>
    <t xml:space="preserve">GILLET </t>
  </si>
  <si>
    <t xml:space="preserve">GLEICHMANN </t>
  </si>
  <si>
    <t>GOETHALS</t>
  </si>
  <si>
    <t xml:space="preserve">GONTARD </t>
  </si>
  <si>
    <t xml:space="preserve">GOUBAU </t>
  </si>
  <si>
    <t xml:space="preserve">GRAUX </t>
  </si>
  <si>
    <t xml:space="preserve">GRESCH </t>
  </si>
  <si>
    <t xml:space="preserve">GUIBERT </t>
  </si>
  <si>
    <t xml:space="preserve">HALBART </t>
  </si>
  <si>
    <t xml:space="preserve">HEINEMANN </t>
  </si>
  <si>
    <t xml:space="preserve">HENRY de FRAHAN </t>
  </si>
  <si>
    <t xml:space="preserve">HENRY </t>
  </si>
  <si>
    <t xml:space="preserve">HENSEN </t>
  </si>
  <si>
    <t>HERMAN</t>
  </si>
  <si>
    <t>HERPAIN</t>
  </si>
  <si>
    <t xml:space="preserve">HERPAIN </t>
  </si>
  <si>
    <t>Stéphane</t>
  </si>
  <si>
    <t>Sylviane</t>
  </si>
  <si>
    <t>Tom</t>
  </si>
  <si>
    <t>Catherine</t>
  </si>
  <si>
    <t>Maurice-Paul</t>
  </si>
  <si>
    <t>Jeanne-Hélène</t>
  </si>
  <si>
    <t>Philippe</t>
  </si>
  <si>
    <t>Carole</t>
  </si>
  <si>
    <t>Cathy</t>
  </si>
  <si>
    <t>Benoît</t>
  </si>
  <si>
    <t>Carola</t>
  </si>
  <si>
    <t>Pauline</t>
  </si>
  <si>
    <t>Inge</t>
  </si>
  <si>
    <t>Christine</t>
  </si>
  <si>
    <t>Jean-Claude</t>
  </si>
  <si>
    <t xml:space="preserve">HIRSHLAND </t>
  </si>
  <si>
    <t xml:space="preserve">HOREKENS </t>
  </si>
  <si>
    <t>HORLAIT</t>
  </si>
  <si>
    <t xml:space="preserve">HURET </t>
  </si>
  <si>
    <t xml:space="preserve">IDE </t>
  </si>
  <si>
    <t>JACOBS</t>
  </si>
  <si>
    <t xml:space="preserve">JACOBS </t>
  </si>
  <si>
    <t>JACQUET</t>
  </si>
  <si>
    <t>JADOULLE</t>
  </si>
  <si>
    <t>JANATI</t>
  </si>
  <si>
    <t>Maria Pia</t>
  </si>
  <si>
    <t>JANSSENS</t>
  </si>
  <si>
    <t xml:space="preserve">JEAN </t>
  </si>
  <si>
    <t>JEMELKA</t>
  </si>
  <si>
    <t xml:space="preserve">JOOS de ter BEERST </t>
  </si>
  <si>
    <t>KAHAN</t>
  </si>
  <si>
    <t xml:space="preserve">KRICK </t>
  </si>
  <si>
    <t xml:space="preserve">LAGRANGE </t>
  </si>
  <si>
    <t xml:space="preserve">LAMBERT </t>
  </si>
  <si>
    <t>LEFEVRE</t>
  </si>
  <si>
    <t>Didier</t>
  </si>
  <si>
    <t>Jeanine</t>
  </si>
  <si>
    <t>Georges</t>
  </si>
  <si>
    <t>Patricia</t>
  </si>
  <si>
    <t>Jany</t>
  </si>
  <si>
    <t>Brigitte</t>
  </si>
  <si>
    <t>Fernande</t>
  </si>
  <si>
    <t>Raymond</t>
  </si>
  <si>
    <t>Danielle</t>
  </si>
  <si>
    <t>LEMAIRE</t>
  </si>
  <si>
    <t>LETREGUILLY</t>
  </si>
  <si>
    <t>LINARD de GUERTECHIN</t>
  </si>
  <si>
    <t xml:space="preserve">LINET </t>
  </si>
  <si>
    <t xml:space="preserve">LONFILS </t>
  </si>
  <si>
    <t xml:space="preserve">LOUVEAUX </t>
  </si>
  <si>
    <t xml:space="preserve">LUTZ </t>
  </si>
  <si>
    <t xml:space="preserve">MACKEN </t>
  </si>
  <si>
    <t xml:space="preserve">MAERTENS de NOORDHOUT </t>
  </si>
  <si>
    <t xml:space="preserve">MALHERBE </t>
  </si>
  <si>
    <t>MANCAUX</t>
  </si>
  <si>
    <t xml:space="preserve">MANCAUX </t>
  </si>
  <si>
    <t>MARQUET</t>
  </si>
  <si>
    <t>MEERT</t>
  </si>
  <si>
    <t>MEILLEUR</t>
  </si>
  <si>
    <t xml:space="preserve">MEILLEUR </t>
  </si>
  <si>
    <t>MICHAUX</t>
  </si>
  <si>
    <t xml:space="preserve">MOREAU de MELEN </t>
  </si>
  <si>
    <t xml:space="preserve">MORRIS </t>
  </si>
  <si>
    <t>MOSTERT</t>
  </si>
  <si>
    <t xml:space="preserve">MOUCQ </t>
  </si>
  <si>
    <t xml:space="preserve">NAZé </t>
  </si>
  <si>
    <t xml:space="preserve">NEID </t>
  </si>
  <si>
    <t>Liliane</t>
  </si>
  <si>
    <t>Grazia</t>
  </si>
  <si>
    <t>Albert</t>
  </si>
  <si>
    <t>Dominique</t>
  </si>
  <si>
    <t>Ruth</t>
  </si>
  <si>
    <t>Anna</t>
  </si>
  <si>
    <t>Sonia</t>
  </si>
  <si>
    <t>Dany</t>
  </si>
  <si>
    <t>Hans</t>
  </si>
  <si>
    <t>Monique</t>
  </si>
  <si>
    <t>Huguette</t>
  </si>
  <si>
    <t>Gisèle</t>
  </si>
  <si>
    <t>William</t>
  </si>
  <si>
    <t>Beau</t>
  </si>
  <si>
    <t xml:space="preserve">NEUENSCHWANDER </t>
  </si>
  <si>
    <t xml:space="preserve">NEVE </t>
  </si>
  <si>
    <t xml:space="preserve">ORBAN </t>
  </si>
  <si>
    <t xml:space="preserve">OREN </t>
  </si>
  <si>
    <t xml:space="preserve">PARIS </t>
  </si>
  <si>
    <t>PARRA</t>
  </si>
  <si>
    <t xml:space="preserve">PASINI </t>
  </si>
  <si>
    <t>PAUWELS</t>
  </si>
  <si>
    <t>PERDOK</t>
  </si>
  <si>
    <t xml:space="preserve">PIERRARD </t>
  </si>
  <si>
    <t>PLUMEREL</t>
  </si>
  <si>
    <t xml:space="preserve">POLL </t>
  </si>
  <si>
    <t>PRIZZON</t>
  </si>
  <si>
    <t>PROSMAN</t>
  </si>
  <si>
    <t xml:space="preserve">QUAEYHAEGENS </t>
  </si>
  <si>
    <t xml:space="preserve">QUIX </t>
  </si>
  <si>
    <t xml:space="preserve">RAGBIR-MERCURI </t>
  </si>
  <si>
    <t>Roger</t>
  </si>
  <si>
    <t>Alexandra</t>
  </si>
  <si>
    <t>Corine</t>
  </si>
  <si>
    <t>Annie</t>
  </si>
  <si>
    <t>Muriel</t>
  </si>
  <si>
    <t>René</t>
  </si>
  <si>
    <t>Simone</t>
  </si>
  <si>
    <t>Jean-Paul</t>
  </si>
  <si>
    <t>Kristin</t>
  </si>
  <si>
    <t>Annick</t>
  </si>
  <si>
    <t xml:space="preserve">SCOWCROFT-DAMON </t>
  </si>
  <si>
    <t xml:space="preserve">SCREVENS </t>
  </si>
  <si>
    <t xml:space="preserve">SERGYSELS </t>
  </si>
  <si>
    <t xml:space="preserve">SEVERYNS </t>
  </si>
  <si>
    <t xml:space="preserve">SIMON </t>
  </si>
  <si>
    <t xml:space="preserve">SLITS </t>
  </si>
  <si>
    <t xml:space="preserve">SMEYERS </t>
  </si>
  <si>
    <t>SOETENS</t>
  </si>
  <si>
    <t xml:space="preserve">SOHET </t>
  </si>
  <si>
    <t>STAS de RICHELLE</t>
  </si>
  <si>
    <t xml:space="preserve">STEYAERT </t>
  </si>
  <si>
    <t>STROINOVSKY</t>
  </si>
  <si>
    <t xml:space="preserve">SUNNEN </t>
  </si>
  <si>
    <t xml:space="preserve">SYSTERMANS </t>
  </si>
  <si>
    <t>TAILDEMAN</t>
  </si>
  <si>
    <t xml:space="preserve">TERLINCK </t>
  </si>
  <si>
    <t xml:space="preserve">TEVELS </t>
  </si>
  <si>
    <t xml:space="preserve">TEYCHENE </t>
  </si>
  <si>
    <t xml:space="preserve">THITEUX </t>
  </si>
  <si>
    <t>THYS</t>
  </si>
  <si>
    <t>TIMMERMANS</t>
  </si>
  <si>
    <t xml:space="preserve">TOMBEUR </t>
  </si>
  <si>
    <t xml:space="preserve">VAES </t>
  </si>
  <si>
    <t>van de VENNE</t>
  </si>
  <si>
    <t>VAN der BORGHT</t>
  </si>
  <si>
    <t>van der HAERT</t>
  </si>
  <si>
    <t xml:space="preserve">VAN DER KELEN </t>
  </si>
  <si>
    <t>VAN DOOSSELAERE</t>
  </si>
  <si>
    <t xml:space="preserve">VAN ELEGHEM </t>
  </si>
  <si>
    <t>VAN HAMME</t>
  </si>
  <si>
    <t>van HOUTRYVE</t>
  </si>
  <si>
    <t>Marie-Anne</t>
  </si>
  <si>
    <t>Cécile</t>
  </si>
  <si>
    <t>Chris</t>
  </si>
  <si>
    <t>Olivier</t>
  </si>
  <si>
    <t>Alexis</t>
  </si>
  <si>
    <t>Bernard</t>
  </si>
  <si>
    <t>Romain</t>
  </si>
  <si>
    <t>Irène</t>
  </si>
  <si>
    <t>Kathleen</t>
  </si>
  <si>
    <t>van SCHOONBEEK</t>
  </si>
  <si>
    <t xml:space="preserve">VAN SCHOOTE </t>
  </si>
  <si>
    <t>VANDAMME</t>
  </si>
  <si>
    <t xml:space="preserve">VANDENBOSCH </t>
  </si>
  <si>
    <t xml:space="preserve">VANDER ELST </t>
  </si>
  <si>
    <t>VANDERKELEN</t>
  </si>
  <si>
    <t>VAXELAIRE</t>
  </si>
  <si>
    <t xml:space="preserve">VERHAEGHE </t>
  </si>
  <si>
    <t xml:space="preserve">VERHEST </t>
  </si>
  <si>
    <t xml:space="preserve">VERHOEVEN </t>
  </si>
  <si>
    <t>VERMER</t>
  </si>
  <si>
    <t xml:space="preserve">VEROLA </t>
  </si>
  <si>
    <t>VEROUGSTRAETE</t>
  </si>
  <si>
    <t xml:space="preserve">VIERSTRAETE </t>
  </si>
  <si>
    <t>VOLDERS</t>
  </si>
  <si>
    <t>VOORTMAN</t>
  </si>
  <si>
    <t>VOûTE</t>
  </si>
  <si>
    <t>WAGEMANS</t>
  </si>
  <si>
    <t xml:space="preserve">WALRAVENS </t>
  </si>
  <si>
    <t>Bernhard</t>
  </si>
  <si>
    <t>Mirène</t>
  </si>
  <si>
    <t>Klaus</t>
  </si>
  <si>
    <t>France</t>
  </si>
  <si>
    <t xml:space="preserve">WEBER </t>
  </si>
  <si>
    <t>WEHRENS</t>
  </si>
  <si>
    <t>WENDEL</t>
  </si>
  <si>
    <t>WILBERZ</t>
  </si>
  <si>
    <t xml:space="preserve">WINSSINGER </t>
  </si>
  <si>
    <t xml:space="preserve">WISNIA </t>
  </si>
  <si>
    <t xml:space="preserve">ZODY </t>
  </si>
  <si>
    <t>PRENOM</t>
  </si>
  <si>
    <t>total</t>
  </si>
  <si>
    <t>date nais</t>
  </si>
  <si>
    <t>age + hcp</t>
  </si>
  <si>
    <t>Josy</t>
  </si>
  <si>
    <t xml:space="preserve">DECUYPERE </t>
  </si>
  <si>
    <t xml:space="preserve">DEFOSSE </t>
  </si>
  <si>
    <t xml:space="preserve">DENIS </t>
  </si>
  <si>
    <t xml:space="preserve">DEPREZ </t>
  </si>
  <si>
    <t>DERYCKE</t>
  </si>
  <si>
    <t>DEVREKER</t>
  </si>
  <si>
    <t xml:space="preserve">DEWIT </t>
  </si>
  <si>
    <t xml:space="preserve">DIMAS </t>
  </si>
  <si>
    <t>Mylène</t>
  </si>
  <si>
    <t>DELHAIZE</t>
  </si>
  <si>
    <t>DELHOVE</t>
  </si>
  <si>
    <t>DEPREZ</t>
  </si>
  <si>
    <t xml:space="preserve">DEWAVRIN </t>
  </si>
  <si>
    <t>DHERTE</t>
  </si>
  <si>
    <t>DIERCKX</t>
  </si>
  <si>
    <t xml:space="preserve">COMPÉTITION HIVERNALE  SENIORS </t>
  </si>
  <si>
    <t>En cas de désistement il est demandé :</t>
  </si>
  <si>
    <t>d’avertir le caddy master et - si possible - ses partenaires</t>
  </si>
  <si>
    <t>75-79</t>
  </si>
  <si>
    <t>70-74</t>
  </si>
  <si>
    <t>blog</t>
  </si>
  <si>
    <t>y</t>
  </si>
  <si>
    <t>age</t>
  </si>
  <si>
    <t>anniversaire aujourdhui</t>
  </si>
  <si>
    <t>Prix offerts par la caisse des séniors</t>
  </si>
  <si>
    <t>Compétition seniors du</t>
  </si>
  <si>
    <t>MARDI 03 mars 2015</t>
  </si>
  <si>
    <t>Capitaine : Jean-Pierre Dubois</t>
  </si>
  <si>
    <t xml:space="preserve">Le Château </t>
  </si>
  <si>
    <t>GREENSOME CANADIEN.</t>
  </si>
  <si>
    <t xml:space="preserve">Formule de jeu  :  </t>
  </si>
  <si>
    <t xml:space="preserve">Parcours  :  </t>
  </si>
  <si>
    <t>BACK TEES</t>
  </si>
  <si>
    <t xml:space="preserve">Départ  :  </t>
  </si>
  <si>
    <t xml:space="preserve"> 2 catégories</t>
  </si>
  <si>
    <t xml:space="preserve">Classement   :  </t>
  </si>
  <si>
    <t>handicaps de 0 à 41.0</t>
  </si>
  <si>
    <t>handicaps de 41.1 à 72</t>
  </si>
  <si>
    <t xml:space="preserve">1ère catégorie :  </t>
  </si>
  <si>
    <t xml:space="preserve">2ème catégorie :  </t>
  </si>
  <si>
    <t>nom prénom</t>
  </si>
  <si>
    <t>hcp</t>
  </si>
  <si>
    <t>1a</t>
  </si>
  <si>
    <t>1b</t>
  </si>
  <si>
    <t>2a</t>
  </si>
  <si>
    <t>2b</t>
  </si>
  <si>
    <t>3a</t>
  </si>
  <si>
    <t>3b</t>
  </si>
  <si>
    <t>4a</t>
  </si>
  <si>
    <t>4b</t>
  </si>
  <si>
    <t>5a</t>
  </si>
  <si>
    <t>5b</t>
  </si>
  <si>
    <t>6a</t>
  </si>
  <si>
    <t>6b</t>
  </si>
  <si>
    <t>7a</t>
  </si>
  <si>
    <t>7b</t>
  </si>
  <si>
    <t>8a</t>
  </si>
  <si>
    <t>8b</t>
  </si>
  <si>
    <t>9a</t>
  </si>
  <si>
    <t>9b</t>
  </si>
  <si>
    <t>10a</t>
  </si>
  <si>
    <t>10b</t>
  </si>
  <si>
    <t>11a</t>
  </si>
  <si>
    <t>11b</t>
  </si>
  <si>
    <t>12a</t>
  </si>
  <si>
    <t>12b</t>
  </si>
  <si>
    <t>13a</t>
  </si>
  <si>
    <t>13b</t>
  </si>
  <si>
    <t>14a</t>
  </si>
  <si>
    <t>14b</t>
  </si>
  <si>
    <t>15a</t>
  </si>
  <si>
    <t>15b</t>
  </si>
  <si>
    <t>16a</t>
  </si>
  <si>
    <t>16b</t>
  </si>
  <si>
    <t>17a</t>
  </si>
  <si>
    <t>17b</t>
  </si>
  <si>
    <t>18a</t>
  </si>
  <si>
    <t>18b</t>
  </si>
  <si>
    <t>19a</t>
  </si>
  <si>
    <t>19b</t>
  </si>
  <si>
    <t>20a</t>
  </si>
  <si>
    <t>20b</t>
  </si>
  <si>
    <t>21a</t>
  </si>
  <si>
    <t>21b</t>
  </si>
  <si>
    <t>22a</t>
  </si>
  <si>
    <t>22b</t>
  </si>
  <si>
    <t>23a</t>
  </si>
  <si>
    <t>23b</t>
  </si>
  <si>
    <t>24a</t>
  </si>
  <si>
    <t>24b</t>
  </si>
  <si>
    <t>25a</t>
  </si>
  <si>
    <t>25b</t>
  </si>
  <si>
    <t>26a</t>
  </si>
  <si>
    <t>26b</t>
  </si>
  <si>
    <t>27a</t>
  </si>
  <si>
    <t>27b</t>
  </si>
  <si>
    <t>28a</t>
  </si>
  <si>
    <t>28b</t>
  </si>
  <si>
    <t>29a</t>
  </si>
  <si>
    <t>30b</t>
  </si>
  <si>
    <t>30a</t>
  </si>
  <si>
    <t>31a</t>
  </si>
  <si>
    <t>29b</t>
  </si>
  <si>
    <t>31b</t>
  </si>
  <si>
    <t>32a</t>
  </si>
  <si>
    <t>32b</t>
  </si>
  <si>
    <t>33a</t>
  </si>
  <si>
    <t>33b</t>
  </si>
  <si>
    <t>34a</t>
  </si>
  <si>
    <t>34b</t>
  </si>
  <si>
    <t>35a</t>
  </si>
  <si>
    <t>35b</t>
  </si>
  <si>
    <t>36a</t>
  </si>
  <si>
    <t>36b</t>
  </si>
  <si>
    <t>37a</t>
  </si>
  <si>
    <t>37b</t>
  </si>
  <si>
    <t>38a</t>
  </si>
  <si>
    <t>38b</t>
  </si>
  <si>
    <t>39a</t>
  </si>
  <si>
    <t>39b</t>
  </si>
  <si>
    <t>40a</t>
  </si>
  <si>
    <t>40b</t>
  </si>
  <si>
    <t>41a</t>
  </si>
  <si>
    <t>41b</t>
  </si>
  <si>
    <t>42a</t>
  </si>
  <si>
    <t>42b</t>
  </si>
  <si>
    <t>43a</t>
  </si>
  <si>
    <t>43b</t>
  </si>
  <si>
    <t>44a</t>
  </si>
  <si>
    <t>44b</t>
  </si>
  <si>
    <t>45a</t>
  </si>
  <si>
    <t>45b</t>
  </si>
  <si>
    <t>46a</t>
  </si>
  <si>
    <t>46b</t>
  </si>
  <si>
    <t>47a</t>
  </si>
  <si>
    <t>47b</t>
  </si>
  <si>
    <t>48a</t>
  </si>
  <si>
    <t>48b</t>
  </si>
  <si>
    <t>49a</t>
  </si>
  <si>
    <t>49b</t>
  </si>
  <si>
    <t>50a</t>
  </si>
  <si>
    <t>50b</t>
  </si>
  <si>
    <t>51a</t>
  </si>
  <si>
    <t>51b</t>
  </si>
  <si>
    <t>53a</t>
  </si>
  <si>
    <t>53b</t>
  </si>
  <si>
    <t>55a</t>
  </si>
  <si>
    <t>55b</t>
  </si>
  <si>
    <t>57a</t>
  </si>
  <si>
    <t>57b</t>
  </si>
  <si>
    <t>59a</t>
  </si>
  <si>
    <t>59b</t>
  </si>
  <si>
    <t>60b</t>
  </si>
  <si>
    <t>60a</t>
  </si>
  <si>
    <t>54b</t>
  </si>
  <si>
    <t>56a</t>
  </si>
  <si>
    <t>56b</t>
  </si>
  <si>
    <t>58a</t>
  </si>
  <si>
    <t>58b</t>
  </si>
  <si>
    <t>54a</t>
  </si>
  <si>
    <t>52b</t>
  </si>
  <si>
    <t>52a</t>
  </si>
  <si>
    <t>Réserves</t>
  </si>
  <si>
    <t>Single Stableford</t>
  </si>
  <si>
    <t xml:space="preserve"> 2 catégories : Dames et Messieurs</t>
  </si>
  <si>
    <t>handicaps de 0 à 20,5</t>
  </si>
  <si>
    <t>handicaps de20,5 à 36</t>
  </si>
  <si>
    <t>annif         today dc</t>
  </si>
  <si>
    <t>heure</t>
  </si>
  <si>
    <t>8h30</t>
  </si>
  <si>
    <t>8h39</t>
  </si>
  <si>
    <t>8h48</t>
  </si>
  <si>
    <t>8h57</t>
  </si>
  <si>
    <t>9h06</t>
  </si>
  <si>
    <t>9h15</t>
  </si>
  <si>
    <t>9h24</t>
  </si>
  <si>
    <t>9h33</t>
  </si>
  <si>
    <t>9h42</t>
  </si>
  <si>
    <t>9h51</t>
  </si>
  <si>
    <t>10h00</t>
  </si>
  <si>
    <t>10h09</t>
  </si>
  <si>
    <t>10h18</t>
  </si>
  <si>
    <t>10h27</t>
  </si>
  <si>
    <t>10h36</t>
  </si>
  <si>
    <t>10h45</t>
  </si>
  <si>
    <t>10h54</t>
  </si>
  <si>
    <t>11h03</t>
  </si>
  <si>
    <t>11h12</t>
  </si>
  <si>
    <t>11h21</t>
  </si>
  <si>
    <t>11h30</t>
  </si>
  <si>
    <t>11h39</t>
  </si>
  <si>
    <t>11h48</t>
  </si>
  <si>
    <t>11h57</t>
  </si>
  <si>
    <t>12h06</t>
  </si>
  <si>
    <t>12h15</t>
  </si>
  <si>
    <t>12h24</t>
  </si>
  <si>
    <t>12h33</t>
  </si>
  <si>
    <t>12h42</t>
  </si>
  <si>
    <t>12h51</t>
  </si>
  <si>
    <t xml:space="preserve">nom </t>
  </si>
  <si>
    <t xml:space="preserve"> prénom</t>
  </si>
  <si>
    <t>61a</t>
  </si>
  <si>
    <t>61b</t>
  </si>
  <si>
    <t>62a</t>
  </si>
  <si>
    <t>62b</t>
  </si>
  <si>
    <t>13h00</t>
  </si>
  <si>
    <t>13h09</t>
  </si>
  <si>
    <t>13h18</t>
  </si>
  <si>
    <t>13h27</t>
  </si>
  <si>
    <t>63a</t>
  </si>
  <si>
    <t>63b</t>
  </si>
  <si>
    <t>65a</t>
  </si>
  <si>
    <t>65b</t>
  </si>
  <si>
    <t>67a</t>
  </si>
  <si>
    <t>67b</t>
  </si>
  <si>
    <t>68b</t>
  </si>
  <si>
    <t>68a</t>
  </si>
  <si>
    <t>64a</t>
  </si>
  <si>
    <t>64b</t>
  </si>
  <si>
    <t>66a</t>
  </si>
  <si>
    <t>66b</t>
  </si>
  <si>
    <t>Bloemendal 17</t>
  </si>
  <si>
    <t>0479.97.06.15</t>
  </si>
  <si>
    <t>0471.91.74.30</t>
  </si>
  <si>
    <t>dagnelie.uccle@gmail.com ;</t>
  </si>
  <si>
    <t>avenue Marie - Antoinette, 32</t>
  </si>
  <si>
    <t>Bosveldweg, 41</t>
  </si>
  <si>
    <t>35 avenue des Erables</t>
  </si>
  <si>
    <t>Rue d'Abeiche 15 C</t>
  </si>
  <si>
    <t>Sieglinde.Entmayr@telenet.be ;</t>
  </si>
  <si>
    <t>alexandra.severyns@gmail.com ;</t>
  </si>
  <si>
    <t>coppens.jacques@gmail.com ;</t>
  </si>
  <si>
    <t>deprezchristiang@gmail.com ;</t>
  </si>
  <si>
    <t>guy.verhaeghe173@gmail.com ;</t>
  </si>
  <si>
    <t>de SCHRYNMAKERS</t>
  </si>
  <si>
    <t>RODESCH</t>
  </si>
  <si>
    <t>Rue Franz Merjay 81/B9</t>
  </si>
  <si>
    <t>Bruno</t>
  </si>
  <si>
    <t>michel.prizzon@gmail.com ;</t>
  </si>
  <si>
    <t>Gilbert</t>
  </si>
  <si>
    <t>MOSZER</t>
  </si>
  <si>
    <t>rue Copernic, 4d</t>
  </si>
  <si>
    <t>02.850.45.37</t>
  </si>
  <si>
    <t>0489.81.21.10</t>
  </si>
  <si>
    <t>moszermonique@gmail.com ;</t>
  </si>
  <si>
    <t>0489.81.21.12</t>
  </si>
  <si>
    <t>michel.decuypere@hotmail.com ;</t>
  </si>
  <si>
    <t>pierre@idedebeir.be ;</t>
  </si>
  <si>
    <t>GAILLY</t>
  </si>
  <si>
    <t>vemhpins@gmail.com ;</t>
  </si>
  <si>
    <t>VANDER BRUGGHEN</t>
  </si>
  <si>
    <t>0475.77.03.29</t>
  </si>
  <si>
    <t>Capitaine :Thierry dePatoul</t>
  </si>
  <si>
    <t>GSM seniors    :  0479 54 51 77</t>
  </si>
  <si>
    <t>2 catégories</t>
  </si>
  <si>
    <t>DRAPER</t>
  </si>
  <si>
    <t>GHORAIN</t>
  </si>
  <si>
    <t xml:space="preserve">Drève de Linkebeek, 19 </t>
  </si>
  <si>
    <t>02.358.29.69</t>
  </si>
  <si>
    <t>0477.95.20.80</t>
  </si>
  <si>
    <t>Hubert</t>
  </si>
  <si>
    <t>VAN DELFT</t>
  </si>
  <si>
    <t>dghorain@hotmail.com ;</t>
  </si>
  <si>
    <t>Wolfgang</t>
  </si>
  <si>
    <t>ENTMAYR</t>
  </si>
  <si>
    <t>MARDI 02 Juin 2015</t>
  </si>
  <si>
    <t>Capitaine : Thierry de Patoul</t>
  </si>
  <si>
    <t>GSM seniors    : 0479 545177</t>
  </si>
  <si>
    <t>GSM : 0486 570978</t>
  </si>
  <si>
    <t>DEWAERSEGGER</t>
  </si>
  <si>
    <t>Drève de Linkebeek, 18</t>
  </si>
  <si>
    <t>02.358.42.40</t>
  </si>
  <si>
    <t>0475.76.87.63</t>
  </si>
  <si>
    <t>Franz</t>
  </si>
  <si>
    <t>DEMBOUR</t>
  </si>
  <si>
    <t>LEVI</t>
  </si>
  <si>
    <t>viviane.levi@gmail.com ;</t>
  </si>
  <si>
    <t>av. Napoléon, 60</t>
  </si>
  <si>
    <t>02.375.38.62</t>
  </si>
  <si>
    <t>0475.63.31.79</t>
  </si>
  <si>
    <t>Daniele</t>
  </si>
  <si>
    <t>SIRET</t>
  </si>
  <si>
    <t>Drève du Triage des Bruyères, 17</t>
  </si>
  <si>
    <t>0475.75.76.80</t>
  </si>
  <si>
    <t>0475.84.69.29</t>
  </si>
  <si>
    <t>0497.45.08.17</t>
  </si>
  <si>
    <t>rodeschp@skynet.be;</t>
  </si>
  <si>
    <t>Pierre_siret@hotmail.com ;</t>
  </si>
  <si>
    <t>Hubert.vandelft@hotmail.com ;</t>
  </si>
  <si>
    <t>goris.michelle@skynet.be ;</t>
  </si>
  <si>
    <t>0475.29.20.85</t>
  </si>
  <si>
    <t>fransquix@gmail.com ;</t>
  </si>
  <si>
    <t>0475.27.27.51</t>
  </si>
  <si>
    <t>gmoszer@gmail.com ;</t>
  </si>
  <si>
    <t>lougailly@hotmail.com ;</t>
  </si>
  <si>
    <t>rue Pierre Flamand, 131/b1</t>
  </si>
  <si>
    <t>02.361.83.67</t>
  </si>
  <si>
    <t>wolfgang.entmayr@telenet.be ;</t>
  </si>
  <si>
    <t>0479.36.38.75</t>
  </si>
  <si>
    <t>Robert.draper@skynet.be</t>
  </si>
  <si>
    <t>av Jonet,2</t>
  </si>
  <si>
    <t>0473.96.29.82</t>
  </si>
  <si>
    <t>av des Gerfauts,5</t>
  </si>
  <si>
    <t>0473.11.67.71</t>
  </si>
  <si>
    <t>BOULANGE</t>
  </si>
  <si>
    <t>av Jacques Pastur, 127 b8</t>
  </si>
  <si>
    <t>MAYNé</t>
  </si>
  <si>
    <t>VANDERHAEGEN</t>
  </si>
  <si>
    <t>av des Hospices, 186</t>
  </si>
  <si>
    <t>0475.27.19.68</t>
  </si>
  <si>
    <t>02.374.18.72</t>
  </si>
  <si>
    <t>av. Claire, 15</t>
  </si>
  <si>
    <t>02.380.96.80</t>
  </si>
  <si>
    <t>0475.25.45.29</t>
  </si>
  <si>
    <t>Parcours</t>
  </si>
  <si>
    <t>WEILL</t>
  </si>
  <si>
    <t>rwevapra@gmail.com  ;</t>
  </si>
  <si>
    <t>Roberta</t>
  </si>
  <si>
    <t>Rue de la Pêcherie, 160/4</t>
  </si>
  <si>
    <t>02.374.91.57</t>
  </si>
  <si>
    <t>0475.45.68.79</t>
  </si>
  <si>
    <t>wevapra@gmail.com  ;</t>
  </si>
  <si>
    <t>0471.26.48.05</t>
  </si>
  <si>
    <t>christineherinckx@skynet.be ;</t>
  </si>
  <si>
    <t>HERINCKX</t>
  </si>
  <si>
    <t>Avenue des Roses, 30</t>
  </si>
  <si>
    <t>0475.79.32.79</t>
  </si>
  <si>
    <t>02.374.83.49</t>
  </si>
  <si>
    <t>bernard.boulange@hotmail.com ;</t>
  </si>
  <si>
    <t>BERBEN</t>
  </si>
  <si>
    <t xml:space="preserve">LE BAILLY </t>
  </si>
  <si>
    <t>nb hcp diminués</t>
  </si>
  <si>
    <t>dames</t>
  </si>
  <si>
    <t>70 et +</t>
  </si>
  <si>
    <t>act</t>
  </si>
  <si>
    <t>age moyen</t>
  </si>
  <si>
    <t>SAMPERS</t>
  </si>
  <si>
    <t>Annik</t>
  </si>
  <si>
    <t>CLAES</t>
  </si>
  <si>
    <t xml:space="preserve">Berlinda </t>
  </si>
  <si>
    <t>VAN BUGGENHOUDT</t>
  </si>
  <si>
    <t xml:space="preserve">Dominique </t>
  </si>
  <si>
    <t>DE VLIEGHER</t>
  </si>
  <si>
    <t>tutti@skynet.be ;</t>
  </si>
  <si>
    <t xml:space="preserve">De Schietboog 110 </t>
  </si>
  <si>
    <t>Schilde</t>
  </si>
  <si>
    <t>473.34.12.00</t>
  </si>
  <si>
    <t>art.benoit@hotmail.com ;</t>
  </si>
  <si>
    <t>0477.78.22.48</t>
  </si>
  <si>
    <t>0496.53.80.60</t>
  </si>
  <si>
    <t xml:space="preserve">Chemin des Cavaliers, 64 </t>
  </si>
  <si>
    <t>Wemel</t>
  </si>
  <si>
    <t>peumans-inge@skynet.be ;</t>
  </si>
  <si>
    <t>av. Hamoir, 47</t>
  </si>
  <si>
    <t xml:space="preserve">av. de la Réserve, 17 </t>
  </si>
  <si>
    <t>0498.57.13.02</t>
  </si>
  <si>
    <t>0479.24.57.45</t>
  </si>
  <si>
    <t>02.358.24.61</t>
  </si>
  <si>
    <t>aamghuys@gmail.com ;</t>
  </si>
  <si>
    <t>GILLEROT</t>
  </si>
  <si>
    <t>Hcp moyen</t>
  </si>
  <si>
    <t xml:space="preserve">Zevengatenlaan 10 </t>
  </si>
  <si>
    <t>0479.91.59.40</t>
  </si>
  <si>
    <t>Handicaps</t>
  </si>
  <si>
    <t>0-5</t>
  </si>
  <si>
    <t>hommes</t>
  </si>
  <si>
    <t>ages</t>
  </si>
  <si>
    <t>&gt;90</t>
  </si>
  <si>
    <t>50-54</t>
  </si>
  <si>
    <t>60-64</t>
  </si>
  <si>
    <t>65-69</t>
  </si>
  <si>
    <t>80-84</t>
  </si>
  <si>
    <t>85-89</t>
  </si>
  <si>
    <t>5,1-10</t>
  </si>
  <si>
    <t>10,1-15</t>
  </si>
  <si>
    <t>15,1-20</t>
  </si>
  <si>
    <t>20,1-25</t>
  </si>
  <si>
    <t>25,1-30</t>
  </si>
  <si>
    <t>30,1-36</t>
  </si>
  <si>
    <t>75 et +</t>
  </si>
  <si>
    <t>74 et +</t>
  </si>
  <si>
    <t>69 et +</t>
  </si>
  <si>
    <t>ages actifs</t>
  </si>
  <si>
    <t>55-59</t>
  </si>
  <si>
    <t>hcp  moyen</t>
  </si>
  <si>
    <t>cotisations</t>
  </si>
  <si>
    <t>anniversaire le</t>
  </si>
  <si>
    <t>Abonnement blog</t>
  </si>
  <si>
    <t>hcp  &lt;20,6</t>
  </si>
  <si>
    <t xml:space="preserve"> hcp &gt;20,5</t>
  </si>
  <si>
    <t>GSM seniors :  0479 54 51 77</t>
  </si>
  <si>
    <t>nb hcp remontés</t>
  </si>
  <si>
    <t>nb hcp =</t>
  </si>
  <si>
    <t>Do.vanparys@gmail.com  ;</t>
  </si>
  <si>
    <t>martinehautain@hotmail.com ;</t>
  </si>
  <si>
    <t>frank.carniol@gmail.com ;</t>
  </si>
  <si>
    <t>lneid08@gmail.com ;</t>
  </si>
  <si>
    <t>grazia.zanella@hotmail.com ;</t>
  </si>
  <si>
    <t>Champ du Vert Chasseur, 71A</t>
  </si>
  <si>
    <t>02.647.09.18</t>
  </si>
  <si>
    <t>av du Champ de Mai,10 bte 5</t>
  </si>
  <si>
    <t>rue de la Bruyère, 24</t>
  </si>
  <si>
    <t>02.384.55.89</t>
  </si>
  <si>
    <t>hans.perdok@hotmail.com ;</t>
  </si>
  <si>
    <t>arianecherequefosse@hotmail.com ;</t>
  </si>
  <si>
    <t>jeanpierredembour@gmail.com ;</t>
  </si>
  <si>
    <t>brigitte.jacquet-liesse@hotmail.com ;</t>
  </si>
  <si>
    <t>0495.53.49.89</t>
  </si>
  <si>
    <t>Lippenslaan, 9</t>
  </si>
  <si>
    <t>FAYARD</t>
  </si>
  <si>
    <t>José</t>
  </si>
  <si>
    <t>KEUWEZ</t>
  </si>
  <si>
    <t>Bernadette</t>
  </si>
  <si>
    <t>ERPICUM</t>
  </si>
  <si>
    <t>02.331.20.07</t>
  </si>
  <si>
    <t>02,358,12,06</t>
  </si>
  <si>
    <t>0477,36,08,13</t>
  </si>
  <si>
    <t>Av des Tilleuls, 56</t>
  </si>
  <si>
    <t>Av de la corniche, 5</t>
  </si>
  <si>
    <t>0470.20.72.56</t>
  </si>
  <si>
    <t>Rue de l'abbaye, 75</t>
  </si>
  <si>
    <t>afayard@club-internet.fr</t>
  </si>
  <si>
    <t>02.736.67.15</t>
  </si>
  <si>
    <t>0470.88.57.84</t>
  </si>
  <si>
    <t>GUSTOT</t>
  </si>
  <si>
    <t>LACOURT</t>
  </si>
  <si>
    <t>micheleblaimont88@gmail.com ;</t>
  </si>
  <si>
    <t>Hilde</t>
  </si>
  <si>
    <t>SMEETS</t>
  </si>
  <si>
    <t>hildevanderstichele@hotmail.com ;</t>
  </si>
  <si>
    <t>0477.22.49.17</t>
  </si>
  <si>
    <t>GOFFIN</t>
  </si>
  <si>
    <t>rue de l'Abbaye, 58</t>
  </si>
  <si>
    <t>av des Chalets 8 /6</t>
  </si>
  <si>
    <t>Uccle</t>
  </si>
  <si>
    <t>02.372.34.25</t>
  </si>
  <si>
    <t>0475.44.19.23</t>
  </si>
  <si>
    <t>av Astrid, 9</t>
  </si>
  <si>
    <t>0475.82.17.09</t>
  </si>
  <si>
    <t>Chemin de la source, 29</t>
  </si>
  <si>
    <t>0475.94.97.54</t>
  </si>
  <si>
    <t>philippe.lacourt@dh.be</t>
  </si>
  <si>
    <t>av de la Turquoise, 43</t>
  </si>
  <si>
    <t>0477.52.00.42</t>
  </si>
  <si>
    <t>Zonnewegel, 29</t>
  </si>
  <si>
    <t>Sterrebeek</t>
  </si>
  <si>
    <t>Pierre-Yves</t>
  </si>
  <si>
    <t>rue Dubuisson,2</t>
  </si>
  <si>
    <t>Francois</t>
  </si>
  <si>
    <t>0465.89.60.57</t>
  </si>
  <si>
    <t>Guldenpoorenlaan,10</t>
  </si>
  <si>
    <t>Hoeillaart</t>
  </si>
  <si>
    <t>DEVRIENDT</t>
  </si>
  <si>
    <t>Leeuwerikenlaan, 16</t>
  </si>
  <si>
    <t>0477.38.50.52</t>
  </si>
  <si>
    <t>DEBUSSCHE</t>
  </si>
  <si>
    <t>0475.98.02.69</t>
  </si>
  <si>
    <t>debussche.devriendt@gmail.com ;</t>
  </si>
  <si>
    <t>Chantal.devriendt@gmail.com ;</t>
  </si>
  <si>
    <t>christian.degoussencourt@outlook.com ;</t>
  </si>
  <si>
    <t>regine.dewitte@hotmail.com ;</t>
  </si>
  <si>
    <t>bernadette.erpicum@gmail.com ;</t>
  </si>
  <si>
    <t>r.gillerot@ghgroup.be ;</t>
  </si>
  <si>
    <t>goffin8@gmail.com ;</t>
  </si>
  <si>
    <t>francisgustot@hotmail.com ;</t>
  </si>
  <si>
    <t>jose.keuwez@skynet.be ;</t>
  </si>
  <si>
    <t>lo.pauwels@skynet.be ;</t>
  </si>
  <si>
    <t>j.zody@skynet.be ;</t>
  </si>
  <si>
    <t>pat.vanhoutryve@gmail.com ;</t>
  </si>
  <si>
    <t>Allée Henri Pousseur, 55</t>
  </si>
  <si>
    <t>Woluwé st Pierre</t>
  </si>
  <si>
    <t>av de Tervuren, 194/010</t>
  </si>
  <si>
    <t>dsiret5@gmail.com ;</t>
  </si>
  <si>
    <t>ines.th@skynet.be ;</t>
  </si>
  <si>
    <t>0475.48.35.19</t>
  </si>
  <si>
    <t>02.354.34.45</t>
  </si>
  <si>
    <t>Houtveldlaan,8</t>
  </si>
  <si>
    <t>0475.90.39.30</t>
  </si>
  <si>
    <t>0478.30.57.76</t>
  </si>
  <si>
    <t>0475.67.59.58</t>
  </si>
</sst>
</file>

<file path=xl/styles.xml><?xml version="1.0" encoding="utf-8"?>
<styleSheet xmlns="http://schemas.openxmlformats.org/spreadsheetml/2006/main">
  <numFmts count="23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"/>
    <numFmt numFmtId="173" formatCode="#########0"/>
    <numFmt numFmtId="174" formatCode="d/mm/yy;@"/>
    <numFmt numFmtId="175" formatCode="[$-F400]h:mm:ss\ AM/PM"/>
    <numFmt numFmtId="176" formatCode="0.0%"/>
    <numFmt numFmtId="177" formatCode="0.000"/>
    <numFmt numFmtId="178" formatCode="h&quot; h &quot;mm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4"/>
      <color indexed="10"/>
      <name val="Times New Roman"/>
      <family val="1"/>
    </font>
    <font>
      <sz val="12"/>
      <name val="Calibri"/>
      <family val="2"/>
    </font>
    <font>
      <sz val="10"/>
      <name val="Calibri"/>
      <family val="2"/>
    </font>
    <font>
      <b/>
      <sz val="16"/>
      <color indexed="10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Calibri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thin"/>
      <bottom style="medium"/>
    </border>
    <border>
      <left style="thin"/>
      <right style="medium"/>
      <top/>
      <bottom style="thin"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0" fillId="21" borderId="3" applyNumberFormat="0" applyFont="0" applyAlignment="0" applyProtection="0"/>
    <xf numFmtId="0" fontId="33" fillId="7" borderId="1" applyNumberFormat="0" applyAlignment="0" applyProtection="0"/>
    <xf numFmtId="170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4" fillId="20" borderId="4" applyNumberFormat="0" applyAlignment="0" applyProtection="0"/>
    <xf numFmtId="0" fontId="3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37" fillId="23" borderId="9" applyNumberFormat="0" applyAlignment="0" applyProtection="0"/>
  </cellStyleXfs>
  <cellXfs count="34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172" fontId="13" fillId="0" borderId="10" xfId="7" applyNumberFormat="1" applyFont="1" applyFill="1" applyBorder="1" applyAlignment="1" applyProtection="1">
      <alignment horizontal="left" vertical="center"/>
      <protection/>
    </xf>
    <xf numFmtId="172" fontId="13" fillId="0" borderId="10" xfId="7" applyNumberFormat="1" applyFont="1" applyFill="1" applyBorder="1" applyAlignment="1" applyProtection="1">
      <alignment horizontal="center" vertical="center"/>
      <protection/>
    </xf>
    <xf numFmtId="10" fontId="13" fillId="0" borderId="10" xfId="7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>
      <alignment/>
    </xf>
    <xf numFmtId="0" fontId="13" fillId="0" borderId="10" xfId="7" applyNumberFormat="1" applyFont="1" applyFill="1" applyBorder="1" applyAlignment="1" applyProtection="1">
      <alignment horizontal="center" vertical="center"/>
      <protection/>
    </xf>
    <xf numFmtId="172" fontId="13" fillId="0" borderId="1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right"/>
    </xf>
    <xf numFmtId="0" fontId="0" fillId="0" borderId="0" xfId="0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172" fontId="0" fillId="0" borderId="0" xfId="0" applyNumberFormat="1" applyAlignment="1">
      <alignment/>
    </xf>
    <xf numFmtId="172" fontId="3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4" fillId="0" borderId="1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Alignment="1">
      <alignment horizontal="center"/>
    </xf>
    <xf numFmtId="174" fontId="15" fillId="0" borderId="10" xfId="7" applyNumberFormat="1" applyFont="1" applyFill="1" applyBorder="1" applyAlignment="1" applyProtection="1">
      <alignment horizontal="center" vertical="center"/>
      <protection/>
    </xf>
    <xf numFmtId="1" fontId="14" fillId="0" borderId="10" xfId="0" applyNumberFormat="1" applyFont="1" applyFill="1" applyBorder="1" applyAlignment="1" quotePrefix="1">
      <alignment horizontal="center" vertical="center" wrapText="1"/>
    </xf>
    <xf numFmtId="1" fontId="13" fillId="0" borderId="10" xfId="7" applyNumberFormat="1" applyFont="1" applyFill="1" applyBorder="1" applyAlignment="1" applyProtection="1">
      <alignment horizontal="center" vertical="center"/>
      <protection/>
    </xf>
    <xf numFmtId="1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/>
    </xf>
    <xf numFmtId="174" fontId="14" fillId="0" borderId="10" xfId="0" applyNumberFormat="1" applyFont="1" applyFill="1" applyBorder="1" applyAlignment="1">
      <alignment horizontal="center" vertical="center"/>
    </xf>
    <xf numFmtId="174" fontId="15" fillId="0" borderId="0" xfId="0" applyNumberFormat="1" applyFont="1" applyFill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7" xfId="0" applyBorder="1" applyAlignment="1">
      <alignment vertical="top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5" fillId="0" borderId="16" xfId="0" applyFont="1" applyBorder="1" applyAlignment="1">
      <alignment vertical="top"/>
    </xf>
    <xf numFmtId="0" fontId="5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vertical="top"/>
    </xf>
    <xf numFmtId="0" fontId="5" fillId="0" borderId="17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Fill="1" applyBorder="1" applyAlignment="1">
      <alignment vertical="top"/>
    </xf>
    <xf numFmtId="0" fontId="0" fillId="0" borderId="0" xfId="0" applyBorder="1" applyAlignment="1">
      <alignment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0" xfId="0" applyFont="1" applyAlignment="1">
      <alignment/>
    </xf>
    <xf numFmtId="0" fontId="2" fillId="0" borderId="21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12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176" fontId="13" fillId="0" borderId="0" xfId="0" applyNumberFormat="1" applyFont="1" applyFill="1" applyBorder="1" applyAlignment="1">
      <alignment horizontal="center"/>
    </xf>
    <xf numFmtId="172" fontId="19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2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26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/>
    </xf>
    <xf numFmtId="1" fontId="21" fillId="0" borderId="10" xfId="0" applyNumberFormat="1" applyFont="1" applyBorder="1" applyAlignment="1">
      <alignment horizontal="center"/>
    </xf>
    <xf numFmtId="10" fontId="21" fillId="0" borderId="10" xfId="0" applyNumberFormat="1" applyFont="1" applyBorder="1" applyAlignment="1">
      <alignment horizontal="center"/>
    </xf>
    <xf numFmtId="10" fontId="21" fillId="0" borderId="10" xfId="0" applyNumberFormat="1" applyFont="1" applyBorder="1" applyAlignment="1">
      <alignment/>
    </xf>
    <xf numFmtId="2" fontId="21" fillId="0" borderId="10" xfId="0" applyNumberFormat="1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1" fontId="21" fillId="0" borderId="28" xfId="0" applyNumberFormat="1" applyFont="1" applyBorder="1" applyAlignment="1">
      <alignment horizontal="center"/>
    </xf>
    <xf numFmtId="10" fontId="21" fillId="0" borderId="28" xfId="0" applyNumberFormat="1" applyFont="1" applyBorder="1" applyAlignment="1">
      <alignment horizontal="center"/>
    </xf>
    <xf numFmtId="10" fontId="21" fillId="0" borderId="29" xfId="0" applyNumberFormat="1" applyFont="1" applyBorder="1" applyAlignment="1">
      <alignment/>
    </xf>
    <xf numFmtId="16" fontId="21" fillId="0" borderId="30" xfId="0" applyNumberFormat="1" applyFont="1" applyBorder="1" applyAlignment="1" quotePrefix="1">
      <alignment horizontal="center"/>
    </xf>
    <xf numFmtId="10" fontId="21" fillId="0" borderId="31" xfId="0" applyNumberFormat="1" applyFont="1" applyBorder="1" applyAlignment="1">
      <alignment/>
    </xf>
    <xf numFmtId="0" fontId="21" fillId="0" borderId="30" xfId="0" applyFont="1" applyBorder="1" applyAlignment="1" quotePrefix="1">
      <alignment horizontal="center"/>
    </xf>
    <xf numFmtId="0" fontId="21" fillId="0" borderId="32" xfId="0" applyFont="1" applyBorder="1" applyAlignment="1" quotePrefix="1">
      <alignment horizontal="center"/>
    </xf>
    <xf numFmtId="2" fontId="21" fillId="0" borderId="33" xfId="0" applyNumberFormat="1" applyFont="1" applyBorder="1" applyAlignment="1">
      <alignment horizontal="center"/>
    </xf>
    <xf numFmtId="10" fontId="21" fillId="0" borderId="33" xfId="0" applyNumberFormat="1" applyFont="1" applyBorder="1" applyAlignment="1">
      <alignment horizontal="center"/>
    </xf>
    <xf numFmtId="1" fontId="21" fillId="0" borderId="33" xfId="0" applyNumberFormat="1" applyFont="1" applyBorder="1" applyAlignment="1">
      <alignment horizontal="center"/>
    </xf>
    <xf numFmtId="10" fontId="21" fillId="0" borderId="34" xfId="0" applyNumberFormat="1" applyFont="1" applyBorder="1" applyAlignment="1">
      <alignment/>
    </xf>
    <xf numFmtId="2" fontId="21" fillId="0" borderId="0" xfId="0" applyNumberFormat="1" applyFont="1" applyAlignment="1">
      <alignment horizontal="center" vertical="center"/>
    </xf>
    <xf numFmtId="2" fontId="21" fillId="0" borderId="35" xfId="0" applyNumberFormat="1" applyFont="1" applyBorder="1" applyAlignment="1">
      <alignment horizontal="center"/>
    </xf>
    <xf numFmtId="2" fontId="21" fillId="0" borderId="36" xfId="0" applyNumberFormat="1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2" fontId="21" fillId="0" borderId="0" xfId="0" applyNumberFormat="1" applyFont="1" applyBorder="1" applyAlignment="1">
      <alignment horizontal="center" vertical="center" wrapText="1"/>
    </xf>
    <xf numFmtId="2" fontId="21" fillId="0" borderId="38" xfId="0" applyNumberFormat="1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1" fontId="21" fillId="0" borderId="0" xfId="0" applyNumberFormat="1" applyFont="1" applyBorder="1" applyAlignment="1">
      <alignment horizontal="center"/>
    </xf>
    <xf numFmtId="10" fontId="21" fillId="0" borderId="0" xfId="0" applyNumberFormat="1" applyFont="1" applyBorder="1" applyAlignment="1">
      <alignment horizontal="center"/>
    </xf>
    <xf numFmtId="10" fontId="21" fillId="0" borderId="0" xfId="0" applyNumberFormat="1" applyFont="1" applyBorder="1" applyAlignment="1">
      <alignment/>
    </xf>
    <xf numFmtId="10" fontId="21" fillId="0" borderId="28" xfId="0" applyNumberFormat="1" applyFont="1" applyBorder="1" applyAlignment="1">
      <alignment/>
    </xf>
    <xf numFmtId="0" fontId="21" fillId="0" borderId="30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10" fontId="21" fillId="0" borderId="33" xfId="0" applyNumberFormat="1" applyFont="1" applyBorder="1" applyAlignment="1">
      <alignment/>
    </xf>
    <xf numFmtId="0" fontId="21" fillId="0" borderId="39" xfId="0" applyFont="1" applyBorder="1" applyAlignment="1">
      <alignment horizontal="center"/>
    </xf>
    <xf numFmtId="1" fontId="21" fillId="0" borderId="40" xfId="0" applyNumberFormat="1" applyFont="1" applyBorder="1" applyAlignment="1">
      <alignment horizontal="center"/>
    </xf>
    <xf numFmtId="10" fontId="21" fillId="0" borderId="40" xfId="0" applyNumberFormat="1" applyFont="1" applyBorder="1" applyAlignment="1">
      <alignment horizontal="center"/>
    </xf>
    <xf numFmtId="0" fontId="21" fillId="0" borderId="41" xfId="0" applyFont="1" applyBorder="1" applyAlignment="1" quotePrefix="1">
      <alignment horizontal="center"/>
    </xf>
    <xf numFmtId="2" fontId="21" fillId="0" borderId="16" xfId="0" applyNumberFormat="1" applyFont="1" applyBorder="1" applyAlignment="1">
      <alignment horizontal="center"/>
    </xf>
    <xf numFmtId="10" fontId="21" fillId="0" borderId="16" xfId="0" applyNumberFormat="1" applyFont="1" applyBorder="1" applyAlignment="1">
      <alignment horizontal="center"/>
    </xf>
    <xf numFmtId="1" fontId="21" fillId="0" borderId="16" xfId="0" applyNumberFormat="1" applyFont="1" applyBorder="1" applyAlignment="1">
      <alignment horizontal="center"/>
    </xf>
    <xf numFmtId="10" fontId="21" fillId="0" borderId="42" xfId="0" applyNumberFormat="1" applyFont="1" applyBorder="1" applyAlignment="1">
      <alignment/>
    </xf>
    <xf numFmtId="1" fontId="21" fillId="0" borderId="43" xfId="0" applyNumberFormat="1" applyFont="1" applyBorder="1" applyAlignment="1">
      <alignment horizontal="center"/>
    </xf>
    <xf numFmtId="14" fontId="21" fillId="0" borderId="44" xfId="0" applyNumberFormat="1" applyFont="1" applyBorder="1" applyAlignment="1">
      <alignment horizontal="center" vertical="center"/>
    </xf>
    <xf numFmtId="2" fontId="21" fillId="0" borderId="0" xfId="0" applyNumberFormat="1" applyFont="1" applyBorder="1" applyAlignment="1">
      <alignment horizontal="center"/>
    </xf>
    <xf numFmtId="0" fontId="21" fillId="24" borderId="0" xfId="0" applyFont="1" applyFill="1" applyAlignment="1">
      <alignment/>
    </xf>
    <xf numFmtId="0" fontId="21" fillId="24" borderId="0" xfId="0" applyFont="1" applyFill="1" applyAlignment="1">
      <alignment horizontal="center"/>
    </xf>
    <xf numFmtId="0" fontId="21" fillId="25" borderId="32" xfId="0" applyFont="1" applyFill="1" applyBorder="1" applyAlignment="1">
      <alignment horizontal="center"/>
    </xf>
    <xf numFmtId="1" fontId="21" fillId="25" borderId="33" xfId="0" applyNumberFormat="1" applyFont="1" applyFill="1" applyBorder="1" applyAlignment="1">
      <alignment horizontal="center"/>
    </xf>
    <xf numFmtId="10" fontId="21" fillId="25" borderId="33" xfId="0" applyNumberFormat="1" applyFont="1" applyFill="1" applyBorder="1" applyAlignment="1">
      <alignment horizontal="center"/>
    </xf>
    <xf numFmtId="10" fontId="21" fillId="25" borderId="34" xfId="0" applyNumberFormat="1" applyFont="1" applyFill="1" applyBorder="1" applyAlignment="1">
      <alignment/>
    </xf>
    <xf numFmtId="2" fontId="21" fillId="25" borderId="36" xfId="0" applyNumberFormat="1" applyFont="1" applyFill="1" applyBorder="1" applyAlignment="1">
      <alignment horizontal="center"/>
    </xf>
    <xf numFmtId="172" fontId="24" fillId="25" borderId="28" xfId="0" applyNumberFormat="1" applyFont="1" applyFill="1" applyBorder="1" applyAlignment="1">
      <alignment horizontal="center"/>
    </xf>
    <xf numFmtId="172" fontId="24" fillId="25" borderId="28" xfId="7" applyNumberFormat="1" applyFont="1" applyFill="1" applyBorder="1" applyAlignment="1" applyProtection="1">
      <alignment horizontal="center" vertical="center"/>
      <protection/>
    </xf>
    <xf numFmtId="10" fontId="24" fillId="25" borderId="29" xfId="7" applyNumberFormat="1" applyFont="1" applyFill="1" applyBorder="1" applyAlignment="1" applyProtection="1">
      <alignment horizontal="center" vertical="center"/>
      <protection/>
    </xf>
    <xf numFmtId="0" fontId="21" fillId="25" borderId="41" xfId="0" applyFont="1" applyFill="1" applyBorder="1" applyAlignment="1" quotePrefix="1">
      <alignment horizontal="center"/>
    </xf>
    <xf numFmtId="2" fontId="21" fillId="25" borderId="16" xfId="0" applyNumberFormat="1" applyFont="1" applyFill="1" applyBorder="1" applyAlignment="1">
      <alignment horizontal="center"/>
    </xf>
    <xf numFmtId="10" fontId="21" fillId="25" borderId="16" xfId="0" applyNumberFormat="1" applyFont="1" applyFill="1" applyBorder="1" applyAlignment="1">
      <alignment horizontal="center"/>
    </xf>
    <xf numFmtId="10" fontId="21" fillId="25" borderId="42" xfId="0" applyNumberFormat="1" applyFont="1" applyFill="1" applyBorder="1" applyAlignment="1">
      <alignment/>
    </xf>
    <xf numFmtId="1" fontId="21" fillId="25" borderId="10" xfId="0" applyNumberFormat="1" applyFont="1" applyFill="1" applyBorder="1" applyAlignment="1">
      <alignment horizontal="center"/>
    </xf>
    <xf numFmtId="10" fontId="21" fillId="25" borderId="10" xfId="0" applyNumberFormat="1" applyFont="1" applyFill="1" applyBorder="1" applyAlignment="1">
      <alignment horizontal="center"/>
    </xf>
    <xf numFmtId="0" fontId="21" fillId="25" borderId="30" xfId="0" applyFont="1" applyFill="1" applyBorder="1" applyAlignment="1">
      <alignment horizontal="center"/>
    </xf>
    <xf numFmtId="10" fontId="21" fillId="25" borderId="31" xfId="0" applyNumberFormat="1" applyFont="1" applyFill="1" applyBorder="1" applyAlignment="1">
      <alignment/>
    </xf>
    <xf numFmtId="2" fontId="21" fillId="25" borderId="33" xfId="0" applyNumberFormat="1" applyFont="1" applyFill="1" applyBorder="1" applyAlignment="1">
      <alignment horizontal="center"/>
    </xf>
    <xf numFmtId="10" fontId="21" fillId="25" borderId="33" xfId="0" applyNumberFormat="1" applyFont="1" applyFill="1" applyBorder="1" applyAlignment="1">
      <alignment/>
    </xf>
    <xf numFmtId="174" fontId="13" fillId="24" borderId="0" xfId="0" applyNumberFormat="1" applyFont="1" applyFill="1" applyAlignment="1">
      <alignment horizontal="center"/>
    </xf>
    <xf numFmtId="172" fontId="19" fillId="24" borderId="0" xfId="0" applyNumberFormat="1" applyFont="1" applyFill="1" applyBorder="1" applyAlignment="1">
      <alignment horizontal="center" vertical="center"/>
    </xf>
    <xf numFmtId="14" fontId="21" fillId="0" borderId="0" xfId="0" applyNumberFormat="1" applyFont="1" applyAlignment="1">
      <alignment/>
    </xf>
    <xf numFmtId="0" fontId="21" fillId="24" borderId="13" xfId="0" applyFont="1" applyFill="1" applyBorder="1" applyAlignment="1">
      <alignment horizontal="center" vertical="center" wrapText="1"/>
    </xf>
    <xf numFmtId="1" fontId="21" fillId="24" borderId="14" xfId="0" applyNumberFormat="1" applyFont="1" applyFill="1" applyBorder="1" applyAlignment="1">
      <alignment horizontal="center" vertical="center"/>
    </xf>
    <xf numFmtId="10" fontId="21" fillId="24" borderId="45" xfId="0" applyNumberFormat="1" applyFont="1" applyFill="1" applyBorder="1" applyAlignment="1">
      <alignment horizontal="center" vertical="center"/>
    </xf>
    <xf numFmtId="1" fontId="21" fillId="24" borderId="0" xfId="0" applyNumberFormat="1" applyFont="1" applyFill="1" applyBorder="1" applyAlignment="1">
      <alignment horizontal="center" vertical="center"/>
    </xf>
    <xf numFmtId="10" fontId="21" fillId="24" borderId="0" xfId="0" applyNumberFormat="1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/>
    </xf>
    <xf numFmtId="0" fontId="21" fillId="24" borderId="0" xfId="0" applyFont="1" applyFill="1" applyAlignment="1">
      <alignment vertical="center"/>
    </xf>
    <xf numFmtId="2" fontId="21" fillId="24" borderId="0" xfId="0" applyNumberFormat="1" applyFont="1" applyFill="1" applyAlignment="1">
      <alignment horizontal="center" vertical="center"/>
    </xf>
    <xf numFmtId="0" fontId="21" fillId="24" borderId="0" xfId="0" applyFont="1" applyFill="1" applyAlignment="1">
      <alignment horizontal="center" vertical="center"/>
    </xf>
    <xf numFmtId="0" fontId="21" fillId="24" borderId="46" xfId="0" applyFont="1" applyFill="1" applyBorder="1" applyAlignment="1">
      <alignment horizontal="center" vertical="center"/>
    </xf>
    <xf numFmtId="1" fontId="21" fillId="24" borderId="47" xfId="0" applyNumberFormat="1" applyFont="1" applyFill="1" applyBorder="1" applyAlignment="1">
      <alignment horizontal="center" vertical="center"/>
    </xf>
    <xf numFmtId="10" fontId="21" fillId="24" borderId="48" xfId="0" applyNumberFormat="1" applyFont="1" applyFill="1" applyBorder="1" applyAlignment="1">
      <alignment horizontal="center" vertical="center"/>
    </xf>
    <xf numFmtId="10" fontId="21" fillId="24" borderId="47" xfId="0" applyNumberFormat="1" applyFont="1" applyFill="1" applyBorder="1" applyAlignment="1">
      <alignment horizontal="center" vertical="center"/>
    </xf>
    <xf numFmtId="10" fontId="21" fillId="24" borderId="19" xfId="0" applyNumberFormat="1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/>
    </xf>
    <xf numFmtId="0" fontId="5" fillId="0" borderId="0" xfId="0" applyFont="1" applyBorder="1" applyAlignment="1">
      <alignment vertical="center"/>
    </xf>
    <xf numFmtId="10" fontId="13" fillId="0" borderId="0" xfId="7" applyNumberFormat="1" applyFont="1" applyFill="1" applyBorder="1" applyAlignment="1" applyProtection="1">
      <alignment horizontal="center" vertical="center"/>
      <protection/>
    </xf>
    <xf numFmtId="0" fontId="18" fillId="0" borderId="28" xfId="0" applyFont="1" applyFill="1" applyBorder="1" applyAlignment="1">
      <alignment horizontal="left"/>
    </xf>
    <xf numFmtId="0" fontId="18" fillId="0" borderId="29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left"/>
    </xf>
    <xf numFmtId="0" fontId="18" fillId="0" borderId="31" xfId="0" applyFont="1" applyFill="1" applyBorder="1" applyAlignment="1">
      <alignment horizontal="left"/>
    </xf>
    <xf numFmtId="0" fontId="18" fillId="0" borderId="33" xfId="0" applyFont="1" applyFill="1" applyBorder="1" applyAlignment="1">
      <alignment horizontal="left"/>
    </xf>
    <xf numFmtId="0" fontId="18" fillId="0" borderId="34" xfId="0" applyFont="1" applyFill="1" applyBorder="1" applyAlignment="1">
      <alignment horizontal="left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0" fontId="3" fillId="0" borderId="10" xfId="0" applyNumberFormat="1" applyFont="1" applyFill="1" applyBorder="1" applyAlignment="1">
      <alignment horizontal="center" vertical="center" wrapText="1"/>
    </xf>
    <xf numFmtId="10" fontId="13" fillId="0" borderId="0" xfId="0" applyNumberFormat="1" applyFont="1" applyFill="1" applyAlignment="1">
      <alignment/>
    </xf>
    <xf numFmtId="10" fontId="13" fillId="0" borderId="0" xfId="0" applyNumberFormat="1" applyFont="1" applyFill="1" applyBorder="1" applyAlignment="1">
      <alignment/>
    </xf>
    <xf numFmtId="177" fontId="14" fillId="0" borderId="0" xfId="0" applyNumberFormat="1" applyFont="1" applyFill="1" applyAlignment="1">
      <alignment horizontal="center" vertical="center"/>
    </xf>
    <xf numFmtId="177" fontId="13" fillId="0" borderId="0" xfId="0" applyNumberFormat="1" applyFont="1" applyFill="1" applyAlignment="1">
      <alignment/>
    </xf>
    <xf numFmtId="0" fontId="14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174" fontId="4" fillId="0" borderId="10" xfId="46" applyNumberFormat="1" applyFont="1" applyFill="1" applyBorder="1" applyAlignment="1" applyProtection="1">
      <alignment horizontal="center"/>
      <protection/>
    </xf>
    <xf numFmtId="177" fontId="13" fillId="0" borderId="10" xfId="0" applyNumberFormat="1" applyFont="1" applyFill="1" applyBorder="1" applyAlignment="1">
      <alignment/>
    </xf>
    <xf numFmtId="0" fontId="13" fillId="24" borderId="10" xfId="0" applyFont="1" applyFill="1" applyBorder="1" applyAlignment="1">
      <alignment/>
    </xf>
    <xf numFmtId="0" fontId="13" fillId="24" borderId="10" xfId="0" applyFont="1" applyFill="1" applyBorder="1" applyAlignment="1">
      <alignment horizontal="left"/>
    </xf>
    <xf numFmtId="172" fontId="13" fillId="24" borderId="10" xfId="0" applyNumberFormat="1" applyFont="1" applyFill="1" applyBorder="1" applyAlignment="1">
      <alignment horizontal="center"/>
    </xf>
    <xf numFmtId="174" fontId="15" fillId="24" borderId="10" xfId="7" applyNumberFormat="1" applyFont="1" applyFill="1" applyBorder="1" applyAlignment="1" applyProtection="1">
      <alignment horizontal="center" vertical="center"/>
      <protection/>
    </xf>
    <xf numFmtId="1" fontId="13" fillId="24" borderId="10" xfId="7" applyNumberFormat="1" applyFont="1" applyFill="1" applyBorder="1" applyAlignment="1" applyProtection="1">
      <alignment horizontal="center" vertical="center"/>
      <protection/>
    </xf>
    <xf numFmtId="0" fontId="13" fillId="24" borderId="10" xfId="7" applyNumberFormat="1" applyFont="1" applyFill="1" applyBorder="1" applyAlignment="1" applyProtection="1">
      <alignment horizontal="center" vertical="center"/>
      <protection/>
    </xf>
    <xf numFmtId="0" fontId="13" fillId="24" borderId="10" xfId="0" applyFont="1" applyFill="1" applyBorder="1" applyAlignment="1">
      <alignment horizontal="center"/>
    </xf>
    <xf numFmtId="172" fontId="13" fillId="24" borderId="10" xfId="7" applyNumberFormat="1" applyFont="1" applyFill="1" applyBorder="1" applyAlignment="1" applyProtection="1">
      <alignment horizontal="center" vertical="center"/>
      <protection/>
    </xf>
    <xf numFmtId="10" fontId="13" fillId="24" borderId="10" xfId="7" applyNumberFormat="1" applyFont="1" applyFill="1" applyBorder="1" applyAlignment="1" applyProtection="1">
      <alignment horizontal="center" vertical="center"/>
      <protection/>
    </xf>
    <xf numFmtId="177" fontId="13" fillId="24" borderId="0" xfId="0" applyNumberFormat="1" applyFont="1" applyFill="1" applyAlignment="1">
      <alignment/>
    </xf>
    <xf numFmtId="0" fontId="13" fillId="24" borderId="0" xfId="0" applyFont="1" applyFill="1" applyAlignment="1">
      <alignment/>
    </xf>
    <xf numFmtId="177" fontId="13" fillId="0" borderId="0" xfId="0" applyNumberFormat="1" applyFont="1" applyFill="1" applyBorder="1" applyAlignment="1">
      <alignment/>
    </xf>
    <xf numFmtId="0" fontId="11" fillId="0" borderId="49" xfId="0" applyFont="1" applyFill="1" applyBorder="1" applyAlignment="1">
      <alignment horizontal="center" vertical="center" wrapText="1"/>
    </xf>
    <xf numFmtId="173" fontId="13" fillId="0" borderId="49" xfId="7" applyNumberFormat="1" applyFont="1" applyFill="1" applyBorder="1" applyAlignment="1" applyProtection="1">
      <alignment vertical="center"/>
      <protection/>
    </xf>
    <xf numFmtId="173" fontId="13" fillId="24" borderId="49" xfId="7" applyNumberFormat="1" applyFont="1" applyFill="1" applyBorder="1" applyAlignment="1" applyProtection="1">
      <alignment vertical="center"/>
      <protection/>
    </xf>
    <xf numFmtId="174" fontId="16" fillId="24" borderId="50" xfId="0" applyNumberFormat="1" applyFont="1" applyFill="1" applyBorder="1" applyAlignment="1">
      <alignment horizontal="center" vertical="center" wrapText="1"/>
    </xf>
    <xf numFmtId="174" fontId="13" fillId="24" borderId="50" xfId="0" applyNumberFormat="1" applyFont="1" applyFill="1" applyBorder="1" applyAlignment="1">
      <alignment horizontal="center"/>
    </xf>
    <xf numFmtId="172" fontId="13" fillId="0" borderId="0" xfId="7" applyNumberFormat="1" applyFont="1" applyFill="1" applyBorder="1" applyAlignment="1" applyProtection="1">
      <alignment horizontal="left" vertical="center"/>
      <protection/>
    </xf>
    <xf numFmtId="172" fontId="13" fillId="24" borderId="10" xfId="7" applyNumberFormat="1" applyFont="1" applyFill="1" applyBorder="1" applyAlignment="1" applyProtection="1">
      <alignment horizontal="left" vertical="center"/>
      <protection/>
    </xf>
    <xf numFmtId="178" fontId="13" fillId="0" borderId="17" xfId="0" applyNumberFormat="1" applyFont="1" applyFill="1" applyBorder="1" applyAlignment="1">
      <alignment/>
    </xf>
    <xf numFmtId="178" fontId="13" fillId="0" borderId="10" xfId="0" applyNumberFormat="1" applyFont="1" applyFill="1" applyBorder="1" applyAlignment="1">
      <alignment/>
    </xf>
    <xf numFmtId="178" fontId="13" fillId="0" borderId="0" xfId="0" applyNumberFormat="1" applyFont="1" applyFill="1" applyAlignment="1">
      <alignment/>
    </xf>
    <xf numFmtId="178" fontId="13" fillId="0" borderId="51" xfId="0" applyNumberFormat="1" applyFont="1" applyFill="1" applyBorder="1" applyAlignment="1">
      <alignment/>
    </xf>
    <xf numFmtId="0" fontId="13" fillId="0" borderId="52" xfId="0" applyFont="1" applyFill="1" applyBorder="1" applyAlignment="1">
      <alignment/>
    </xf>
    <xf numFmtId="0" fontId="13" fillId="0" borderId="52" xfId="0" applyFont="1" applyFill="1" applyBorder="1" applyAlignment="1">
      <alignment horizontal="left"/>
    </xf>
    <xf numFmtId="172" fontId="13" fillId="0" borderId="33" xfId="0" applyNumberFormat="1" applyFont="1" applyFill="1" applyBorder="1" applyAlignment="1">
      <alignment horizontal="center"/>
    </xf>
    <xf numFmtId="0" fontId="13" fillId="0" borderId="33" xfId="0" applyFont="1" applyFill="1" applyBorder="1" applyAlignment="1">
      <alignment/>
    </xf>
    <xf numFmtId="178" fontId="13" fillId="0" borderId="16" xfId="0" applyNumberFormat="1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3" fillId="0" borderId="16" xfId="0" applyFont="1" applyFill="1" applyBorder="1" applyAlignment="1">
      <alignment horizontal="left"/>
    </xf>
    <xf numFmtId="172" fontId="13" fillId="0" borderId="16" xfId="0" applyNumberFormat="1" applyFont="1" applyFill="1" applyBorder="1" applyAlignment="1">
      <alignment horizontal="center"/>
    </xf>
    <xf numFmtId="0" fontId="13" fillId="0" borderId="17" xfId="0" applyFont="1" applyFill="1" applyBorder="1" applyAlignment="1">
      <alignment horizontal="left"/>
    </xf>
    <xf numFmtId="172" fontId="13" fillId="0" borderId="17" xfId="0" applyNumberFormat="1" applyFont="1" applyFill="1" applyBorder="1" applyAlignment="1">
      <alignment horizontal="center"/>
    </xf>
    <xf numFmtId="178" fontId="13" fillId="0" borderId="0" xfId="0" applyNumberFormat="1" applyFont="1" applyFill="1" applyBorder="1" applyAlignment="1">
      <alignment/>
    </xf>
    <xf numFmtId="172" fontId="13" fillId="0" borderId="0" xfId="0" applyNumberFormat="1" applyFont="1" applyFill="1" applyBorder="1" applyAlignment="1">
      <alignment horizontal="center"/>
    </xf>
    <xf numFmtId="173" fontId="13" fillId="0" borderId="0" xfId="7" applyNumberFormat="1" applyFont="1" applyFill="1" applyBorder="1" applyAlignment="1" applyProtection="1">
      <alignment vertical="center"/>
      <protection/>
    </xf>
    <xf numFmtId="0" fontId="13" fillId="24" borderId="0" xfId="0" applyFont="1" applyFill="1" applyBorder="1" applyAlignment="1">
      <alignment/>
    </xf>
    <xf numFmtId="0" fontId="13" fillId="24" borderId="0" xfId="0" applyFont="1" applyFill="1" applyBorder="1" applyAlignment="1">
      <alignment horizontal="left"/>
    </xf>
    <xf numFmtId="172" fontId="13" fillId="24" borderId="0" xfId="0" applyNumberFormat="1" applyFont="1" applyFill="1" applyBorder="1" applyAlignment="1">
      <alignment horizontal="center"/>
    </xf>
    <xf numFmtId="173" fontId="13" fillId="24" borderId="0" xfId="7" applyNumberFormat="1" applyFont="1" applyFill="1" applyBorder="1" applyAlignment="1" applyProtection="1">
      <alignment vertical="center"/>
      <protection/>
    </xf>
    <xf numFmtId="172" fontId="13" fillId="0" borderId="0" xfId="7" applyNumberFormat="1" applyFont="1" applyFill="1" applyBorder="1" applyAlignment="1" applyProtection="1">
      <alignment horizontal="center" vertical="center"/>
      <protection/>
    </xf>
    <xf numFmtId="172" fontId="13" fillId="24" borderId="0" xfId="7" applyNumberFormat="1" applyFont="1" applyFill="1" applyBorder="1" applyAlignment="1" applyProtection="1">
      <alignment horizontal="left" vertical="center"/>
      <protection/>
    </xf>
    <xf numFmtId="178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/>
    </xf>
    <xf numFmtId="172" fontId="0" fillId="0" borderId="0" xfId="0" applyNumberFormat="1" applyBorder="1" applyAlignment="1">
      <alignment/>
    </xf>
    <xf numFmtId="0" fontId="13" fillId="0" borderId="0" xfId="0" applyFont="1" applyFill="1" applyBorder="1" applyAlignment="1">
      <alignment/>
    </xf>
    <xf numFmtId="178" fontId="13" fillId="0" borderId="33" xfId="0" applyNumberFormat="1" applyFont="1" applyFill="1" applyBorder="1" applyAlignment="1">
      <alignment/>
    </xf>
    <xf numFmtId="0" fontId="13" fillId="0" borderId="33" xfId="0" applyFont="1" applyFill="1" applyBorder="1" applyAlignment="1">
      <alignment horizontal="left"/>
    </xf>
    <xf numFmtId="178" fontId="13" fillId="0" borderId="14" xfId="0" applyNumberFormat="1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3" fillId="0" borderId="14" xfId="0" applyFont="1" applyFill="1" applyBorder="1" applyAlignment="1">
      <alignment horizontal="left"/>
    </xf>
    <xf numFmtId="172" fontId="13" fillId="0" borderId="14" xfId="0" applyNumberFormat="1" applyFont="1" applyFill="1" applyBorder="1" applyAlignment="1">
      <alignment horizontal="center"/>
    </xf>
    <xf numFmtId="172" fontId="13" fillId="0" borderId="53" xfId="7" applyNumberFormat="1" applyFont="1" applyFill="1" applyBorder="1" applyAlignment="1" applyProtection="1">
      <alignment horizontal="left" vertical="center"/>
      <protection/>
    </xf>
    <xf numFmtId="172" fontId="13" fillId="0" borderId="50" xfId="7" applyNumberFormat="1" applyFont="1" applyFill="1" applyBorder="1" applyAlignment="1" applyProtection="1">
      <alignment horizontal="left" vertical="center"/>
      <protection/>
    </xf>
    <xf numFmtId="172" fontId="13" fillId="0" borderId="23" xfId="7" applyNumberFormat="1" applyFont="1" applyFill="1" applyBorder="1" applyAlignment="1" applyProtection="1">
      <alignment horizontal="left" vertical="center"/>
      <protection/>
    </xf>
    <xf numFmtId="173" fontId="13" fillId="0" borderId="34" xfId="7" applyNumberFormat="1" applyFont="1" applyFill="1" applyBorder="1" applyAlignment="1" applyProtection="1">
      <alignment vertical="center"/>
      <protection/>
    </xf>
    <xf numFmtId="173" fontId="13" fillId="0" borderId="31" xfId="7" applyNumberFormat="1" applyFont="1" applyFill="1" applyBorder="1" applyAlignment="1" applyProtection="1">
      <alignment vertical="center"/>
      <protection/>
    </xf>
    <xf numFmtId="173" fontId="13" fillId="0" borderId="54" xfId="7" applyNumberFormat="1" applyFont="1" applyFill="1" applyBorder="1" applyAlignment="1" applyProtection="1">
      <alignment vertical="center"/>
      <protection/>
    </xf>
    <xf numFmtId="173" fontId="13" fillId="0" borderId="42" xfId="7" applyNumberFormat="1" applyFont="1" applyFill="1" applyBorder="1" applyAlignment="1" applyProtection="1">
      <alignment vertical="center"/>
      <protection/>
    </xf>
    <xf numFmtId="173" fontId="13" fillId="0" borderId="15" xfId="7" applyNumberFormat="1" applyFont="1" applyFill="1" applyBorder="1" applyAlignment="1" applyProtection="1">
      <alignment vertical="center"/>
      <protection/>
    </xf>
    <xf numFmtId="0" fontId="13" fillId="0" borderId="19" xfId="0" applyFont="1" applyFill="1" applyBorder="1" applyAlignment="1">
      <alignment/>
    </xf>
    <xf numFmtId="0" fontId="13" fillId="0" borderId="45" xfId="0" applyFont="1" applyFill="1" applyBorder="1" applyAlignment="1">
      <alignment/>
    </xf>
    <xf numFmtId="172" fontId="13" fillId="0" borderId="25" xfId="7" applyNumberFormat="1" applyFont="1" applyFill="1" applyBorder="1" applyAlignment="1" applyProtection="1">
      <alignment horizontal="left" vertical="center"/>
      <protection/>
    </xf>
    <xf numFmtId="172" fontId="13" fillId="0" borderId="32" xfId="7" applyNumberFormat="1" applyFont="1" applyFill="1" applyBorder="1" applyAlignment="1" applyProtection="1">
      <alignment horizontal="left" vertical="center"/>
      <protection/>
    </xf>
    <xf numFmtId="172" fontId="13" fillId="0" borderId="14" xfId="7" applyNumberFormat="1" applyFont="1" applyFill="1" applyBorder="1" applyAlignment="1" applyProtection="1">
      <alignment horizontal="left" vertical="center"/>
      <protection/>
    </xf>
    <xf numFmtId="0" fontId="14" fillId="0" borderId="21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/>
    </xf>
    <xf numFmtId="0" fontId="14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/>
    </xf>
    <xf numFmtId="0" fontId="13" fillId="0" borderId="55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8" fillId="0" borderId="2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1" fontId="16" fillId="0" borderId="49" xfId="0" applyNumberFormat="1" applyFont="1" applyFill="1" applyBorder="1" applyAlignment="1" quotePrefix="1">
      <alignment horizontal="center" vertical="center" wrapText="1"/>
    </xf>
    <xf numFmtId="1" fontId="16" fillId="0" borderId="50" xfId="0" applyNumberFormat="1" applyFont="1" applyFill="1" applyBorder="1" applyAlignment="1" quotePrefix="1">
      <alignment horizontal="center" vertical="center" wrapText="1"/>
    </xf>
    <xf numFmtId="175" fontId="10" fillId="0" borderId="27" xfId="0" applyNumberFormat="1" applyFont="1" applyBorder="1" applyAlignment="1">
      <alignment horizontal="center" vertical="center"/>
    </xf>
    <xf numFmtId="175" fontId="10" fillId="0" borderId="30" xfId="0" applyNumberFormat="1" applyFont="1" applyBorder="1" applyAlignment="1">
      <alignment horizontal="center" vertical="center"/>
    </xf>
    <xf numFmtId="175" fontId="10" fillId="0" borderId="3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9" fillId="24" borderId="13" xfId="0" applyFont="1" applyFill="1" applyBorder="1" applyAlignment="1">
      <alignment horizontal="center" vertical="center" wrapText="1"/>
    </xf>
    <xf numFmtId="0" fontId="9" fillId="24" borderId="14" xfId="0" applyFont="1" applyFill="1" applyBorder="1" applyAlignment="1">
      <alignment horizontal="center" vertical="center" wrapText="1"/>
    </xf>
    <xf numFmtId="0" fontId="9" fillId="24" borderId="1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1" fillId="0" borderId="3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4" fillId="25" borderId="56" xfId="0" applyFont="1" applyFill="1" applyBorder="1" applyAlignment="1">
      <alignment horizontal="left"/>
    </xf>
    <xf numFmtId="0" fontId="24" fillId="25" borderId="53" xfId="0" applyFont="1" applyFill="1" applyBorder="1" applyAlignment="1">
      <alignment horizontal="left"/>
    </xf>
    <xf numFmtId="0" fontId="24" fillId="25" borderId="57" xfId="0" applyFont="1" applyFill="1" applyBorder="1" applyAlignment="1">
      <alignment horizontal="left"/>
    </xf>
    <xf numFmtId="0" fontId="24" fillId="25" borderId="58" xfId="0" applyFont="1" applyFill="1" applyBorder="1" applyAlignment="1">
      <alignment horizontal="left"/>
    </xf>
    <xf numFmtId="0" fontId="24" fillId="25" borderId="59" xfId="0" applyFont="1" applyFill="1" applyBorder="1" applyAlignment="1">
      <alignment horizontal="left"/>
    </xf>
    <xf numFmtId="0" fontId="24" fillId="25" borderId="50" xfId="0" applyFont="1" applyFill="1" applyBorder="1" applyAlignment="1">
      <alignment horizontal="left"/>
    </xf>
    <xf numFmtId="0" fontId="21" fillId="0" borderId="26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25" borderId="39" xfId="0" applyFont="1" applyFill="1" applyBorder="1" applyAlignment="1">
      <alignment horizontal="center" vertical="center"/>
    </xf>
    <xf numFmtId="0" fontId="21" fillId="25" borderId="61" xfId="0" applyFont="1" applyFill="1" applyBorder="1" applyAlignment="1">
      <alignment horizontal="center" vertical="center"/>
    </xf>
    <xf numFmtId="1" fontId="21" fillId="25" borderId="40" xfId="0" applyNumberFormat="1" applyFont="1" applyFill="1" applyBorder="1" applyAlignment="1">
      <alignment horizontal="center" vertical="center"/>
    </xf>
    <xf numFmtId="1" fontId="21" fillId="25" borderId="62" xfId="0" applyNumberFormat="1" applyFont="1" applyFill="1" applyBorder="1" applyAlignment="1">
      <alignment horizontal="center" vertical="center"/>
    </xf>
    <xf numFmtId="10" fontId="21" fillId="25" borderId="40" xfId="0" applyNumberFormat="1" applyFont="1" applyFill="1" applyBorder="1" applyAlignment="1">
      <alignment horizontal="center" vertical="center"/>
    </xf>
    <xf numFmtId="10" fontId="21" fillId="25" borderId="62" xfId="0" applyNumberFormat="1" applyFont="1" applyFill="1" applyBorder="1" applyAlignment="1">
      <alignment horizontal="center" vertical="center"/>
    </xf>
    <xf numFmtId="2" fontId="21" fillId="0" borderId="11" xfId="0" applyNumberFormat="1" applyFont="1" applyBorder="1" applyAlignment="1">
      <alignment horizontal="center" vertical="center" wrapText="1"/>
    </xf>
    <xf numFmtId="2" fontId="21" fillId="0" borderId="55" xfId="0" applyNumberFormat="1" applyFont="1" applyBorder="1" applyAlignment="1">
      <alignment horizontal="center" vertical="center" wrapText="1"/>
    </xf>
    <xf numFmtId="10" fontId="21" fillId="25" borderId="63" xfId="0" applyNumberFormat="1" applyFont="1" applyFill="1" applyBorder="1" applyAlignment="1">
      <alignment horizontal="center" vertical="center"/>
    </xf>
    <xf numFmtId="10" fontId="21" fillId="25" borderId="64" xfId="0" applyNumberFormat="1" applyFont="1" applyFill="1" applyBorder="1" applyAlignment="1">
      <alignment horizontal="center" vertical="center"/>
    </xf>
    <xf numFmtId="0" fontId="5" fillId="25" borderId="39" xfId="0" applyFont="1" applyFill="1" applyBorder="1" applyAlignment="1">
      <alignment horizontal="center" vertical="center"/>
    </xf>
  </cellXfs>
  <cellStyles count="52">
    <cellStyle name="Normal" xfId="0"/>
    <cellStyle name="RowLevel_3" xfId="7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2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1</xdr:row>
      <xdr:rowOff>85725</xdr:rowOff>
    </xdr:from>
    <xdr:to>
      <xdr:col>3</xdr:col>
      <xdr:colOff>1114425</xdr:colOff>
      <xdr:row>9</xdr:row>
      <xdr:rowOff>247650</xdr:rowOff>
    </xdr:to>
    <xdr:pic>
      <xdr:nvPicPr>
        <xdr:cNvPr id="1" name="Imag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61925"/>
          <a:ext cx="2838450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</xdr:row>
      <xdr:rowOff>190500</xdr:rowOff>
    </xdr:from>
    <xdr:to>
      <xdr:col>1</xdr:col>
      <xdr:colOff>2038350</xdr:colOff>
      <xdr:row>6</xdr:row>
      <xdr:rowOff>200025</xdr:rowOff>
    </xdr:to>
    <xdr:pic>
      <xdr:nvPicPr>
        <xdr:cNvPr id="1" name="Image 1" descr="MPj0433121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66700"/>
          <a:ext cx="18288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</xdr:row>
      <xdr:rowOff>180975</xdr:rowOff>
    </xdr:from>
    <xdr:to>
      <xdr:col>2</xdr:col>
      <xdr:colOff>1924050</xdr:colOff>
      <xdr:row>5</xdr:row>
      <xdr:rowOff>180975</xdr:rowOff>
    </xdr:to>
    <xdr:pic>
      <xdr:nvPicPr>
        <xdr:cNvPr id="1" name="Image 2" descr="MPj0433121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57175"/>
          <a:ext cx="18288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ouise.herman@numericable.be%20;" TargetMode="External" /><Relationship Id="rId2" Type="http://schemas.openxmlformats.org/officeDocument/2006/relationships/hyperlink" Target="mailto:michel.screvens@gmail.com%20;" TargetMode="External" /><Relationship Id="rId3" Type="http://schemas.openxmlformats.org/officeDocument/2006/relationships/hyperlink" Target="mailto:erreramarc@gmail.com%20;" TargetMode="External" /><Relationship Id="rId4" Type="http://schemas.openxmlformats.org/officeDocument/2006/relationships/hyperlink" Target="mailto:alexandra.severyns@gmail.com%20;" TargetMode="External" /><Relationship Id="rId5" Type="http://schemas.openxmlformats.org/officeDocument/2006/relationships/hyperlink" Target="mailto:arianecherequefosse@hotmail.com%20;" TargetMode="External" /><Relationship Id="rId6" Type="http://schemas.openxmlformats.org/officeDocument/2006/relationships/hyperlink" Target="mailto:isa.debeir@gmail.com%20;" TargetMode="External" /><Relationship Id="rId7" Type="http://schemas.openxmlformats.org/officeDocument/2006/relationships/hyperlink" Target="mailto:thirschland@lesuco.be%20;" TargetMode="External" /><Relationship Id="rId8" Type="http://schemas.openxmlformats.org/officeDocument/2006/relationships/hyperlink" Target="mailto:christine.letreguilly@gmail.com%20;" TargetMode="External" /><Relationship Id="rId9" Type="http://schemas.openxmlformats.org/officeDocument/2006/relationships/hyperlink" Target="mailto:lescalas@skynet.be%20;" TargetMode="External" /><Relationship Id="rId10" Type="http://schemas.openxmlformats.org/officeDocument/2006/relationships/hyperlink" Target="mailto:jdefailly@gmail.com%20;" TargetMode="External" /><Relationship Id="rId11" Type="http://schemas.openxmlformats.org/officeDocument/2006/relationships/hyperlink" Target="mailto:michel.kahan@skynet.be%20;" TargetMode="External" /><Relationship Id="rId12" Type="http://schemas.openxmlformats.org/officeDocument/2006/relationships/hyperlink" Target="mailto:cathychanu@gmail.com%20;" TargetMode="External" /><Relationship Id="rId13" Type="http://schemas.openxmlformats.org/officeDocument/2006/relationships/hyperlink" Target="mailto:georges.meert@telenet.be%20;" TargetMode="External" /><Relationship Id="rId14" Type="http://schemas.openxmlformats.org/officeDocument/2006/relationships/hyperlink" Target="mailto:patricia.meert-becker@telenet.be%20;" TargetMode="External" /><Relationship Id="rId15" Type="http://schemas.openxmlformats.org/officeDocument/2006/relationships/hyperlink" Target="mailto:brigitte.jacquet-liesse@hotmail.com%20;" TargetMode="External" /><Relationship Id="rId16" Type="http://schemas.openxmlformats.org/officeDocument/2006/relationships/hyperlink" Target="mailto:dagnelie.uccle@gmail.com%20;" TargetMode="External" /><Relationship Id="rId17" Type="http://schemas.openxmlformats.org/officeDocument/2006/relationships/hyperlink" Target="mailto:dagnelie.uccle@gmail.com%20;" TargetMode="External" /><Relationship Id="rId18" Type="http://schemas.openxmlformats.org/officeDocument/2006/relationships/hyperlink" Target="mailto:wolfgang.entmayr@telenet.be%20;" TargetMode="External" /><Relationship Id="rId19" Type="http://schemas.openxmlformats.org/officeDocument/2006/relationships/hyperlink" Target="mailto:coppens.jacques@gmail.com%20;" TargetMode="External" /><Relationship Id="rId20" Type="http://schemas.openxmlformats.org/officeDocument/2006/relationships/hyperlink" Target="mailto:deprezchristiang@gmail.com%20;" TargetMode="External" /><Relationship Id="rId21" Type="http://schemas.openxmlformats.org/officeDocument/2006/relationships/hyperlink" Target="mailto:michel.prizzon@gmail.com%20;" TargetMode="External" /><Relationship Id="rId22" Type="http://schemas.openxmlformats.org/officeDocument/2006/relationships/hyperlink" Target="mailto:gmoszer@gmail.com%20;" TargetMode="External" /><Relationship Id="rId23" Type="http://schemas.openxmlformats.org/officeDocument/2006/relationships/hyperlink" Target="mailto:moszermonique@gmail.com%20;" TargetMode="External" /><Relationship Id="rId24" Type="http://schemas.openxmlformats.org/officeDocument/2006/relationships/hyperlink" Target="mailto:michel.decuypere@hotmail.com%20;" TargetMode="External" /><Relationship Id="rId25" Type="http://schemas.openxmlformats.org/officeDocument/2006/relationships/hyperlink" Target="mailto:pierre@idedebeir.be%20;" TargetMode="External" /><Relationship Id="rId26" Type="http://schemas.openxmlformats.org/officeDocument/2006/relationships/hyperlink" Target="mailto:vemhpins@gmail.com%20;" TargetMode="External" /><Relationship Id="rId27" Type="http://schemas.openxmlformats.org/officeDocument/2006/relationships/hyperlink" Target="mailto:lneid08@gmail.com%20;" TargetMode="External" /><Relationship Id="rId28" Type="http://schemas.openxmlformats.org/officeDocument/2006/relationships/hyperlink" Target="mailto:chrisverhoeven@telenet.be%20;" TargetMode="External" /><Relationship Id="rId29" Type="http://schemas.openxmlformats.org/officeDocument/2006/relationships/hyperlink" Target="mailto:dghorain@hotmail.com%20;" TargetMode="External" /><Relationship Id="rId30" Type="http://schemas.openxmlformats.org/officeDocument/2006/relationships/hyperlink" Target="mailto:Sieglinde.Entmayr@telenet.be%20;" TargetMode="External" /><Relationship Id="rId31" Type="http://schemas.openxmlformats.org/officeDocument/2006/relationships/hyperlink" Target="mailto:aaapr@skynet.be%20;" TargetMode="External" /><Relationship Id="rId32" Type="http://schemas.openxmlformats.org/officeDocument/2006/relationships/hyperlink" Target="mailto:viviane.levi@gmail.com%20;" TargetMode="External" /><Relationship Id="rId33" Type="http://schemas.openxmlformats.org/officeDocument/2006/relationships/hyperlink" Target="mailto:dsiret5@gmail.com%20;" TargetMode="External" /><Relationship Id="rId34" Type="http://schemas.openxmlformats.org/officeDocument/2006/relationships/hyperlink" Target="mailto:Pierre_siret@hotmail.com%20;" TargetMode="External" /><Relationship Id="rId35" Type="http://schemas.openxmlformats.org/officeDocument/2006/relationships/hyperlink" Target="mailto:rodeschp@skynet.be;" TargetMode="External" /><Relationship Id="rId36" Type="http://schemas.openxmlformats.org/officeDocument/2006/relationships/hyperlink" Target="mailto:goris.michelle@skynet.be%20;" TargetMode="External" /><Relationship Id="rId37" Type="http://schemas.openxmlformats.org/officeDocument/2006/relationships/hyperlink" Target="mailto:fransquix@gmail.com%20;" TargetMode="External" /><Relationship Id="rId38" Type="http://schemas.openxmlformats.org/officeDocument/2006/relationships/hyperlink" Target="mailto:lougailly@hotmail.com%20;" TargetMode="External" /><Relationship Id="rId39" Type="http://schemas.openxmlformats.org/officeDocument/2006/relationships/hyperlink" Target="mailto:Robert.draper@skynet.be" TargetMode="External" /><Relationship Id="rId40" Type="http://schemas.openxmlformats.org/officeDocument/2006/relationships/hyperlink" Target="mailto:jeanpierredembour@gmail.com%20;" TargetMode="External" /><Relationship Id="rId41" Type="http://schemas.openxmlformats.org/officeDocument/2006/relationships/hyperlink" Target="mailto:christian.degoussencourt@outlook.com%20;" TargetMode="External" /><Relationship Id="rId42" Type="http://schemas.openxmlformats.org/officeDocument/2006/relationships/hyperlink" Target="mailto:bernard.boulange@hotmail.com%20;" TargetMode="External" /><Relationship Id="rId43" Type="http://schemas.openxmlformats.org/officeDocument/2006/relationships/hyperlink" Target="mailto:christineherinckx@skynet.be%20;" TargetMode="External" /><Relationship Id="rId44" Type="http://schemas.openxmlformats.org/officeDocument/2006/relationships/hyperlink" Target="mailto:tutti@skynet.be%20;" TargetMode="External" /><Relationship Id="rId45" Type="http://schemas.openxmlformats.org/officeDocument/2006/relationships/hyperlink" Target="mailto:peumans-inge@skynet.be%20;" TargetMode="External" /><Relationship Id="rId46" Type="http://schemas.openxmlformats.org/officeDocument/2006/relationships/hyperlink" Target="mailto:Do.vanparys@gmail.com%20%20;" TargetMode="External" /><Relationship Id="rId47" Type="http://schemas.openxmlformats.org/officeDocument/2006/relationships/hyperlink" Target="mailto:aamghuys@gmail.com%20;" TargetMode="External" /><Relationship Id="rId48" Type="http://schemas.openxmlformats.org/officeDocument/2006/relationships/hyperlink" Target="mailto:aamghuys@gmail.com%20;" TargetMode="External" /><Relationship Id="rId49" Type="http://schemas.openxmlformats.org/officeDocument/2006/relationships/hyperlink" Target="mailto:r.gillerot@ghgroup.be%20;" TargetMode="External" /><Relationship Id="rId50" Type="http://schemas.openxmlformats.org/officeDocument/2006/relationships/hyperlink" Target="mailto:frank.carniol@gmail.com%20;" TargetMode="External" /><Relationship Id="rId51" Type="http://schemas.openxmlformats.org/officeDocument/2006/relationships/hyperlink" Target="mailto:grazia.zanella@hotmail.com%20;" TargetMode="External" /><Relationship Id="rId52" Type="http://schemas.openxmlformats.org/officeDocument/2006/relationships/hyperlink" Target="mailto:hans.perdok@hotmail.com%20;" TargetMode="External" /><Relationship Id="rId53" Type="http://schemas.openxmlformats.org/officeDocument/2006/relationships/hyperlink" Target="mailto:aaapr@skynet.be%20;" TargetMode="External" /><Relationship Id="rId54" Type="http://schemas.openxmlformats.org/officeDocument/2006/relationships/hyperlink" Target="mailto:sonforster@hotmail.com%20;" TargetMode="External" /><Relationship Id="rId55" Type="http://schemas.openxmlformats.org/officeDocument/2006/relationships/hyperlink" Target="mailto:pat.vanhoutryve@gmail.com%20;" TargetMode="External" /><Relationship Id="rId56" Type="http://schemas.openxmlformats.org/officeDocument/2006/relationships/hyperlink" Target="mailto:wevapra@gmail.com%20%20;" TargetMode="External" /><Relationship Id="rId57" Type="http://schemas.openxmlformats.org/officeDocument/2006/relationships/hyperlink" Target="mailto:rwevapra@gmail.com%20%20;" TargetMode="External" /><Relationship Id="rId58" Type="http://schemas.openxmlformats.org/officeDocument/2006/relationships/hyperlink" Target="mailto:martinehautain@hotmail.com%20;" TargetMode="External" /><Relationship Id="rId59" Type="http://schemas.openxmlformats.org/officeDocument/2006/relationships/hyperlink" Target="mailto:Hubert.vandelft@hotmail.com%20;" TargetMode="External" /><Relationship Id="rId60" Type="http://schemas.openxmlformats.org/officeDocument/2006/relationships/hyperlink" Target="mailto:jean-claude.vandenbosch@skynet.be%20;" TargetMode="External" /><Relationship Id="rId61" Type="http://schemas.openxmlformats.org/officeDocument/2006/relationships/hyperlink" Target="mailto:guy.verhaeghe173@gmail.com%20;" TargetMode="External" /><Relationship Id="rId62" Type="http://schemas.openxmlformats.org/officeDocument/2006/relationships/hyperlink" Target="mailto:j.zody@skynet.be%20;" TargetMode="External" /><Relationship Id="rId63" Type="http://schemas.openxmlformats.org/officeDocument/2006/relationships/hyperlink" Target="mailto:jose.keuwez@skynet.be%20;" TargetMode="External" /><Relationship Id="rId64" Type="http://schemas.openxmlformats.org/officeDocument/2006/relationships/hyperlink" Target="mailto:bernadette.erpicum@gmail.com%20;" TargetMode="External" /><Relationship Id="rId65" Type="http://schemas.openxmlformats.org/officeDocument/2006/relationships/hyperlink" Target="mailto:afayard@club-internet.fr" TargetMode="External" /><Relationship Id="rId66" Type="http://schemas.openxmlformats.org/officeDocument/2006/relationships/hyperlink" Target="mailto:micheleblaimont88@gmail.com%20;" TargetMode="External" /><Relationship Id="rId67" Type="http://schemas.openxmlformats.org/officeDocument/2006/relationships/hyperlink" Target="mailto:goffin8@gmail.com%20;" TargetMode="External" /><Relationship Id="rId68" Type="http://schemas.openxmlformats.org/officeDocument/2006/relationships/hyperlink" Target="mailto:regine.dewitte@hotmail.com%20;" TargetMode="External" /><Relationship Id="rId69" Type="http://schemas.openxmlformats.org/officeDocument/2006/relationships/hyperlink" Target="mailto:carbonezero@gmail.com%20;" TargetMode="External" /><Relationship Id="rId70" Type="http://schemas.openxmlformats.org/officeDocument/2006/relationships/hyperlink" Target="mailto:francisgustot@hotmail.com%20;" TargetMode="External" /><Relationship Id="rId71" Type="http://schemas.openxmlformats.org/officeDocument/2006/relationships/hyperlink" Target="mailto:christineherinckx@skynet.be" TargetMode="External" /><Relationship Id="rId72" Type="http://schemas.openxmlformats.org/officeDocument/2006/relationships/hyperlink" Target="mailto:philippe.lacourt@dh.be" TargetMode="External" /><Relationship Id="rId73" Type="http://schemas.openxmlformats.org/officeDocument/2006/relationships/hyperlink" Target="mailto:hildevanderstichele@hotmail.com%20;" TargetMode="External" /><Relationship Id="rId74" Type="http://schemas.openxmlformats.org/officeDocument/2006/relationships/hyperlink" Target="mailto:lo.pauwels@skynet.be%20;" TargetMode="External" /><Relationship Id="rId75" Type="http://schemas.openxmlformats.org/officeDocument/2006/relationships/hyperlink" Target="mailto:pierreyves.bene@gmail.com%20;" TargetMode="External" /><Relationship Id="rId76" Type="http://schemas.openxmlformats.org/officeDocument/2006/relationships/hyperlink" Target="mailto:pierreyves.bene@gmail.com%20;" TargetMode="External" /><Relationship Id="rId77" Type="http://schemas.openxmlformats.org/officeDocument/2006/relationships/hyperlink" Target="mailto:smeyers.f@skynet.be%20;" TargetMode="External" /><Relationship Id="rId78" Type="http://schemas.openxmlformats.org/officeDocument/2006/relationships/hyperlink" Target="mailto:dvb@tdconsulting.be%20;" TargetMode="External" /><Relationship Id="rId79" Type="http://schemas.openxmlformats.org/officeDocument/2006/relationships/hyperlink" Target="mailto:Chantal.devriendt@gmail.com%20;" TargetMode="External" /><Relationship Id="rId80" Type="http://schemas.openxmlformats.org/officeDocument/2006/relationships/hyperlink" Target="mailto:debussche.devriendt@gmail.com%20;" TargetMode="External" /><Relationship Id="rId81" Type="http://schemas.openxmlformats.org/officeDocument/2006/relationships/hyperlink" Target="mailto:paul.terlinck@gmail.com%20;" TargetMode="External" /><Relationship Id="rId82" Type="http://schemas.openxmlformats.org/officeDocument/2006/relationships/hyperlink" Target="mailto:haigchim@gmail.com%20;" TargetMode="External" /><Relationship Id="rId83" Type="http://schemas.openxmlformats.org/officeDocument/2006/relationships/hyperlink" Target="http://www.codes.postaux.be/commune-court-saint-etienne.php" TargetMode="External" /><Relationship Id="rId84" Type="http://schemas.openxmlformats.org/officeDocument/2006/relationships/hyperlink" Target="mailto:b.basecqz@hotmail.com%20;" TargetMode="External" /><Relationship Id="rId85" Type="http://schemas.openxmlformats.org/officeDocument/2006/relationships/hyperlink" Target="mailto:philippe.voortman@gmail.com%20;" TargetMode="External" /><Relationship Id="rId86" Type="http://schemas.openxmlformats.org/officeDocument/2006/relationships/hyperlink" Target="mailto:axelle.goubau@telenet.be%20;" TargetMode="External" /><Relationship Id="rId87" Type="http://schemas.openxmlformats.org/officeDocument/2006/relationships/hyperlink" Target="mailto:pierre.colard@coficre.be%20;" TargetMode="External" /><Relationship Id="rId88" Type="http://schemas.openxmlformats.org/officeDocument/2006/relationships/hyperlink" Target="mailto:jean.brasseur@skynet.be%20;" TargetMode="External" /><Relationship Id="rId89" Type="http://schemas.openxmlformats.org/officeDocument/2006/relationships/hyperlink" Target="mailto:micheline.petit@skynet.be%20;" TargetMode="External" /><Relationship Id="rId90" Type="http://schemas.openxmlformats.org/officeDocument/2006/relationships/hyperlink" Target="mailto:j.miccoli@skynet.be%20;" TargetMode="External" /><Relationship Id="rId91" Type="http://schemas.openxmlformats.org/officeDocument/2006/relationships/hyperlink" Target="mailto:paul@voute.be%20;" TargetMode="External" /><Relationship Id="rId92" Type="http://schemas.openxmlformats.org/officeDocument/2006/relationships/hyperlink" Target="mailto:philerat@gmail.com%20;" TargetMode="External" /><Relationship Id="rId93" Type="http://schemas.openxmlformats.org/officeDocument/2006/relationships/hyperlink" Target="mailto:micheggerickx@skynet.be%20;" TargetMode="External" /><Relationship Id="rId94" Type="http://schemas.openxmlformats.org/officeDocument/2006/relationships/hyperlink" Target="mailto:couet@skynet.be%20;" TargetMode="External" /><Relationship Id="rId95" Type="http://schemas.openxmlformats.org/officeDocument/2006/relationships/hyperlink" Target="mailto:d.wolfs@telenet.be%20;" TargetMode="External" /><Relationship Id="rId96" Type="http://schemas.openxmlformats.org/officeDocument/2006/relationships/hyperlink" Target="mailto:mifoursport9@gmail.com%20;" TargetMode="External" /><Relationship Id="rId97" Type="http://schemas.openxmlformats.org/officeDocument/2006/relationships/hyperlink" Target="mailto:beatrice.struye@me.com%20;" TargetMode="External" /><Relationship Id="rId98" Type="http://schemas.openxmlformats.org/officeDocument/2006/relationships/hyperlink" Target="mailto:m.baube@gmail.com%20;" TargetMode="External" /><Relationship Id="rId99" Type="http://schemas.openxmlformats.org/officeDocument/2006/relationships/hyperlink" Target="mailto:acareme61@gmail.com%20;" TargetMode="External" /><Relationship Id="rId100" Type="http://schemas.openxmlformats.org/officeDocument/2006/relationships/hyperlink" Target="mailto:christianlemaigre@yahoo.fr%20;" TargetMode="External" /><Relationship Id="rId101" Type="http://schemas.openxmlformats.org/officeDocument/2006/relationships/hyperlink" Target="mailto:rhonda_perraudin@yahoo.com%20;" TargetMode="External" /><Relationship Id="rId102" Type="http://schemas.openxmlformats.org/officeDocument/2006/relationships/hyperlink" Target="mailto:duboisgh14@gmail.com%20;" TargetMode="External" /><Relationship Id="rId103" Type="http://schemas.openxmlformats.org/officeDocument/2006/relationships/hyperlink" Target="mailto:jdekriek@gmail.com%20;" TargetMode="External" /><Relationship Id="rId104" Type="http://schemas.openxmlformats.org/officeDocument/2006/relationships/hyperlink" Target="mailto:jverva@hotmail.fr%20;" TargetMode="External" /><Relationship Id="rId105" Type="http://schemas.openxmlformats.org/officeDocument/2006/relationships/hyperlink" Target="mailto:christine.beniada@gmail.com" TargetMode="External" /><Relationship Id="rId106" Type="http://schemas.openxmlformats.org/officeDocument/2006/relationships/hyperlink" Target="mailto:jf.brachotte@free.fr" TargetMode="External" /><Relationship Id="rId107" Type="http://schemas.openxmlformats.org/officeDocument/2006/relationships/hyperlink" Target="mailto:michel.malschaert@challenger.be" TargetMode="External" /><Relationship Id="rId108" Type="http://schemas.openxmlformats.org/officeDocument/2006/relationships/hyperlink" Target="mailto:michel.troubetzkoy@avisapartners.eu%20;" TargetMode="External" /><Relationship Id="rId109" Type="http://schemas.openxmlformats.org/officeDocument/2006/relationships/hyperlink" Target="mailto:etienne.frisque@gmail.com" TargetMode="External" /><Relationship Id="rId110" Type="http://schemas.openxmlformats.org/officeDocument/2006/relationships/hyperlink" Target="mailto:art.benoit@hotmail.com%20;" TargetMode="External" /><Relationship Id="rId111" Type="http://schemas.openxmlformats.org/officeDocument/2006/relationships/hyperlink" Target="mailto:braem.francine@skynet.be%20;" TargetMode="External" /><Relationship Id="rId112" Type="http://schemas.openxmlformats.org/officeDocument/2006/relationships/hyperlink" Target="mailto:miroska@live.be%20;" TargetMode="External" /><Relationship Id="rId113" Type="http://schemas.openxmlformats.org/officeDocument/2006/relationships/hyperlink" Target="mailto:daniele_vanbeers@skynet.be;" TargetMode="External" /><Relationship Id="rId114" Type="http://schemas.openxmlformats.org/officeDocument/2006/relationships/hyperlink" Target="mailto:jeanine.zody@gmail.com%20;" TargetMode="External" /><Relationship Id="rId115" Type="http://schemas.openxmlformats.org/officeDocument/2006/relationships/hyperlink" Target="mailto:cwybauw@hotmail.com%20;" TargetMode="External" /><Relationship Id="rId116" Type="http://schemas.openxmlformats.org/officeDocument/2006/relationships/hyperlink" Target="mailto:info@marchand.be" TargetMode="External" /><Relationship Id="rId117" Type="http://schemas.openxmlformats.org/officeDocument/2006/relationships/hyperlink" Target="mailto:info@marchand.be%20;" TargetMode="External" /><Relationship Id="rId118" Type="http://schemas.openxmlformats.org/officeDocument/2006/relationships/hyperlink" Target="mailto:cathy@basecqz.com%20;" TargetMode="External" /><Relationship Id="rId119" Type="http://schemas.openxmlformats.org/officeDocument/2006/relationships/hyperlink" Target="mailto:sc@sergecaustur.be%20;" TargetMode="External" /><Relationship Id="rId120" Type="http://schemas.openxmlformats.org/officeDocument/2006/relationships/hyperlink" Target="mailto:jd.scowcroft@gmail.com%20;" TargetMode="External" /><Relationship Id="rId121" Type="http://schemas.openxmlformats.org/officeDocument/2006/relationships/hyperlink" Target="mailto:lucinge@hotmail.com%20;" TargetMode="External" /><Relationship Id="rId122" Type="http://schemas.openxmlformats.org/officeDocument/2006/relationships/hyperlink" Target="mailto:latifa.maiz@me.com%20;" TargetMode="External" /><Relationship Id="rId12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54"/>
  <sheetViews>
    <sheetView zoomScalePageLayoutView="0" workbookViewId="0" topLeftCell="A310">
      <selection activeCell="A353" sqref="A2:X353"/>
    </sheetView>
  </sheetViews>
  <sheetFormatPr defaultColWidth="26.7109375" defaultRowHeight="12.75"/>
  <cols>
    <col min="1" max="1" width="4.140625" style="7" customWidth="1"/>
    <col min="2" max="2" width="8.8515625" style="197" hidden="1" customWidth="1"/>
    <col min="3" max="3" width="8.8515625" style="0" hidden="1" customWidth="1"/>
    <col min="4" max="4" width="26.8515625" style="0" hidden="1" customWidth="1"/>
    <col min="5" max="5" width="27.57421875" style="0" customWidth="1"/>
    <col min="6" max="6" width="5.7109375" style="15" customWidth="1"/>
    <col min="7" max="7" width="3.00390625" style="15" customWidth="1"/>
    <col min="8" max="8" width="7.421875" style="25" customWidth="1"/>
    <col min="9" max="9" width="28.8515625" style="218" customWidth="1"/>
    <col min="10" max="10" width="4.7109375" style="158" customWidth="1"/>
    <col min="11" max="11" width="6.7109375" style="27" customWidth="1"/>
    <col min="12" max="12" width="4.421875" style="20" customWidth="1"/>
    <col min="13" max="13" width="9.8515625" style="24" customWidth="1"/>
    <col min="14" max="14" width="2.00390625" style="24" customWidth="1"/>
    <col min="15" max="15" width="2.7109375" style="24" customWidth="1"/>
    <col min="16" max="16" width="2.57421875" style="24" customWidth="1"/>
    <col min="17" max="17" width="26.8515625" style="7" customWidth="1"/>
    <col min="18" max="18" width="5.00390625" style="10" customWidth="1"/>
    <col min="19" max="19" width="15.00390625" style="7" customWidth="1"/>
    <col min="20" max="20" width="10.57421875" style="7" customWidth="1"/>
    <col min="21" max="21" width="11.421875" style="7" customWidth="1"/>
    <col min="22" max="22" width="4.421875" style="15" customWidth="1"/>
    <col min="23" max="23" width="4.7109375" style="7" customWidth="1"/>
    <col min="24" max="24" width="6.7109375" style="191" customWidth="1"/>
    <col min="25" max="25" width="8.7109375" style="194" customWidth="1"/>
    <col min="26" max="16384" width="26.7109375" style="7" customWidth="1"/>
  </cols>
  <sheetData>
    <row r="1" spans="1:25" s="14" customFormat="1" ht="45" customHeight="1">
      <c r="A1" s="13" t="s">
        <v>1091</v>
      </c>
      <c r="B1" s="195" t="s">
        <v>1514</v>
      </c>
      <c r="C1" s="17" t="s">
        <v>520</v>
      </c>
      <c r="D1" s="17"/>
      <c r="E1" s="17"/>
      <c r="F1" s="16" t="s">
        <v>1138</v>
      </c>
      <c r="G1" s="16" t="s">
        <v>1853</v>
      </c>
      <c r="H1" s="213" t="s">
        <v>857</v>
      </c>
      <c r="I1" s="4" t="s">
        <v>1097</v>
      </c>
      <c r="J1" s="216" t="s">
        <v>195</v>
      </c>
      <c r="K1" s="26" t="s">
        <v>1516</v>
      </c>
      <c r="L1" s="19" t="s">
        <v>1541</v>
      </c>
      <c r="M1" s="22" t="s">
        <v>1517</v>
      </c>
      <c r="N1" s="282" t="s">
        <v>1686</v>
      </c>
      <c r="O1" s="283"/>
      <c r="P1" s="22" t="s">
        <v>1539</v>
      </c>
      <c r="Q1" s="13" t="s">
        <v>519</v>
      </c>
      <c r="R1" s="13" t="s">
        <v>1132</v>
      </c>
      <c r="S1" s="13" t="s">
        <v>532</v>
      </c>
      <c r="T1" s="13" t="s">
        <v>521</v>
      </c>
      <c r="U1" s="13" t="s">
        <v>522</v>
      </c>
      <c r="V1" s="16" t="s">
        <v>193</v>
      </c>
      <c r="W1" s="1" t="s">
        <v>194</v>
      </c>
      <c r="X1" s="190" t="s">
        <v>1127</v>
      </c>
      <c r="Y1" s="193"/>
    </row>
    <row r="2" spans="1:24" ht="12">
      <c r="A2" s="2" t="s">
        <v>1092</v>
      </c>
      <c r="B2" s="196" t="s">
        <v>1146</v>
      </c>
      <c r="C2" s="2" t="s">
        <v>1145</v>
      </c>
      <c r="D2" s="2" t="str">
        <f aca="true" t="shared" si="0" ref="D2:D65">B2&amp;" "&amp;C2</f>
        <v>Michel ANNEZ de TABOADA </v>
      </c>
      <c r="E2" s="2" t="str">
        <f aca="true" t="shared" si="1" ref="E2:E65">C2&amp;" "&amp;B2</f>
        <v>ANNEZ de TABOADA  Michel</v>
      </c>
      <c r="F2" s="9">
        <v>19</v>
      </c>
      <c r="G2" s="9" t="s">
        <v>84</v>
      </c>
      <c r="H2" s="214">
        <v>703335</v>
      </c>
      <c r="I2" s="4" t="s">
        <v>868</v>
      </c>
      <c r="J2" s="217" t="s">
        <v>1540</v>
      </c>
      <c r="K2" s="21">
        <v>16684</v>
      </c>
      <c r="L2" s="23">
        <f aca="true" t="shared" si="2" ref="L2:L65">YEAR(jourdhui)-YEAR(K2)-IF(MONTH(K2)&gt;MONTH(jourdhui),1,0)-(IF(MONTH(K2)=MONTH(jourdhui),1,0)*IF(DAY(K2)&gt;DAY(jourdhui),1,0))</f>
        <v>71</v>
      </c>
      <c r="M2" s="23">
        <f aca="true" t="shared" si="3" ref="M2:M33">L2+F2</f>
        <v>90</v>
      </c>
      <c r="N2" s="8" t="str">
        <f aca="true" ca="1" t="shared" si="4" ref="N2:N65">IF((IF(DAY(K2)=DAY(TODAY()),1,0)+IF(MONTH(K2)=MONTH(TODAY()),1,0))=2,"y"," ")</f>
        <v> </v>
      </c>
      <c r="O2" s="8" t="str">
        <f aca="true" t="shared" si="5" ref="O2:O12">IF((IF(DAY(K2)=DAY(dc),1,0)+IF(MONTH(K2)=MONTH(dc),1,0))=2,"y"," ")</f>
        <v> </v>
      </c>
      <c r="P2" s="8" t="s">
        <v>1540</v>
      </c>
      <c r="Q2" s="2" t="s">
        <v>507</v>
      </c>
      <c r="R2" s="3">
        <v>1420</v>
      </c>
      <c r="S2" s="2" t="s">
        <v>535</v>
      </c>
      <c r="T2" s="2"/>
      <c r="U2" s="2" t="s">
        <v>508</v>
      </c>
      <c r="V2" s="9">
        <v>19</v>
      </c>
      <c r="W2" s="5">
        <f aca="true" t="shared" si="6" ref="W2:W65">F2-V2</f>
        <v>0</v>
      </c>
      <c r="X2" s="6">
        <f aca="true" t="shared" si="7" ref="X2:X65">(V2-F2)/V2</f>
        <v>0</v>
      </c>
    </row>
    <row r="3" spans="1:25" ht="12">
      <c r="A3" s="2" t="s">
        <v>1093</v>
      </c>
      <c r="B3" s="196" t="s">
        <v>1148</v>
      </c>
      <c r="C3" s="2" t="s">
        <v>1147</v>
      </c>
      <c r="D3" s="2" t="str">
        <f t="shared" si="0"/>
        <v>Nanou ANSIAUX </v>
      </c>
      <c r="E3" s="2" t="str">
        <f t="shared" si="1"/>
        <v>ANSIAUX  Nanou</v>
      </c>
      <c r="F3" s="9">
        <v>19.1</v>
      </c>
      <c r="G3" s="9" t="s">
        <v>84</v>
      </c>
      <c r="H3" s="214">
        <v>226726</v>
      </c>
      <c r="I3" s="4" t="s">
        <v>869</v>
      </c>
      <c r="J3" s="217" t="s">
        <v>1540</v>
      </c>
      <c r="K3" s="21">
        <v>16183</v>
      </c>
      <c r="L3" s="23">
        <f t="shared" si="2"/>
        <v>73</v>
      </c>
      <c r="M3" s="23">
        <f t="shared" si="3"/>
        <v>92.1</v>
      </c>
      <c r="N3" s="8" t="str">
        <f ca="1" t="shared" si="4"/>
        <v> </v>
      </c>
      <c r="O3" s="8" t="str">
        <f t="shared" si="5"/>
        <v> </v>
      </c>
      <c r="P3" s="8" t="s">
        <v>1540</v>
      </c>
      <c r="Q3" s="2" t="s">
        <v>447</v>
      </c>
      <c r="R3" s="3">
        <v>1180</v>
      </c>
      <c r="S3" s="2" t="s">
        <v>546</v>
      </c>
      <c r="T3" s="2" t="s">
        <v>551</v>
      </c>
      <c r="U3" s="2" t="s">
        <v>448</v>
      </c>
      <c r="V3" s="9">
        <v>19.1</v>
      </c>
      <c r="W3" s="5">
        <f t="shared" si="6"/>
        <v>0</v>
      </c>
      <c r="X3" s="6">
        <f t="shared" si="7"/>
        <v>0</v>
      </c>
      <c r="Y3" s="194">
        <f>LARGE(X2:X27,1)</f>
        <v>0</v>
      </c>
    </row>
    <row r="4" spans="1:24" ht="12">
      <c r="A4" s="2" t="s">
        <v>1092</v>
      </c>
      <c r="B4" s="196" t="s">
        <v>1150</v>
      </c>
      <c r="C4" s="2" t="s">
        <v>1149</v>
      </c>
      <c r="D4" s="2" t="str">
        <f t="shared" si="0"/>
        <v>Eric ARNOUX </v>
      </c>
      <c r="E4" s="2" t="str">
        <f t="shared" si="1"/>
        <v>ARNOUX  Eric</v>
      </c>
      <c r="F4" s="9">
        <v>17.8</v>
      </c>
      <c r="G4" s="9" t="s">
        <v>84</v>
      </c>
      <c r="H4" s="214">
        <v>721247</v>
      </c>
      <c r="I4" s="4" t="s">
        <v>870</v>
      </c>
      <c r="J4" s="217"/>
      <c r="K4" s="21">
        <v>15522</v>
      </c>
      <c r="L4" s="23">
        <f t="shared" si="2"/>
        <v>74</v>
      </c>
      <c r="M4" s="23">
        <f t="shared" si="3"/>
        <v>91.8</v>
      </c>
      <c r="N4" s="8" t="str">
        <f ca="1" t="shared" si="4"/>
        <v> </v>
      </c>
      <c r="O4" s="8" t="str">
        <f t="shared" si="5"/>
        <v> </v>
      </c>
      <c r="P4" s="8" t="s">
        <v>1540</v>
      </c>
      <c r="Q4" s="2" t="s">
        <v>308</v>
      </c>
      <c r="R4" s="3">
        <v>1170</v>
      </c>
      <c r="S4" s="2" t="s">
        <v>546</v>
      </c>
      <c r="T4" s="2" t="s">
        <v>661</v>
      </c>
      <c r="U4" s="2" t="s">
        <v>523</v>
      </c>
      <c r="V4" s="9">
        <v>17.8</v>
      </c>
      <c r="W4" s="5">
        <f t="shared" si="6"/>
        <v>0</v>
      </c>
      <c r="X4" s="6">
        <f t="shared" si="7"/>
        <v>0</v>
      </c>
    </row>
    <row r="5" spans="1:24" ht="12">
      <c r="A5" s="2" t="s">
        <v>1093</v>
      </c>
      <c r="B5" s="196" t="s">
        <v>1219</v>
      </c>
      <c r="C5" s="2" t="s">
        <v>146</v>
      </c>
      <c r="D5" s="2" t="str">
        <f t="shared" si="0"/>
        <v>Isabelle BAISSAS-SIMON</v>
      </c>
      <c r="E5" s="2" t="str">
        <f t="shared" si="1"/>
        <v>BAISSAS-SIMON Isabelle</v>
      </c>
      <c r="F5" s="9">
        <v>25.899999618530273</v>
      </c>
      <c r="G5" s="9" t="s">
        <v>84</v>
      </c>
      <c r="H5" s="214">
        <v>206886</v>
      </c>
      <c r="I5" s="4" t="s">
        <v>1034</v>
      </c>
      <c r="J5" s="217" t="s">
        <v>1540</v>
      </c>
      <c r="K5" s="21">
        <v>21390</v>
      </c>
      <c r="L5" s="23">
        <f t="shared" si="2"/>
        <v>58</v>
      </c>
      <c r="M5" s="23">
        <f t="shared" si="3"/>
        <v>83.89999961853027</v>
      </c>
      <c r="N5" s="8" t="str">
        <f ca="1" t="shared" si="4"/>
        <v> </v>
      </c>
      <c r="O5" s="8" t="str">
        <f t="shared" si="5"/>
        <v> </v>
      </c>
      <c r="P5" s="8" t="s">
        <v>1540</v>
      </c>
      <c r="Q5" s="2" t="s">
        <v>262</v>
      </c>
      <c r="R5" s="3">
        <v>1410</v>
      </c>
      <c r="S5" s="2" t="s">
        <v>534</v>
      </c>
      <c r="T5" s="2" t="s">
        <v>495</v>
      </c>
      <c r="U5" s="2" t="s">
        <v>688</v>
      </c>
      <c r="V5" s="9">
        <v>25.899999618530273</v>
      </c>
      <c r="W5" s="5">
        <f t="shared" si="6"/>
        <v>0</v>
      </c>
      <c r="X5" s="6">
        <f t="shared" si="7"/>
        <v>0</v>
      </c>
    </row>
    <row r="6" spans="1:24" ht="12">
      <c r="A6" s="2" t="s">
        <v>1093</v>
      </c>
      <c r="B6" s="196" t="s">
        <v>1152</v>
      </c>
      <c r="C6" s="2" t="s">
        <v>1151</v>
      </c>
      <c r="D6" s="2" t="str">
        <f t="shared" si="0"/>
        <v>Michelle BARROY </v>
      </c>
      <c r="E6" s="2" t="str">
        <f t="shared" si="1"/>
        <v>BARROY  Michelle</v>
      </c>
      <c r="F6" s="9">
        <v>11.1</v>
      </c>
      <c r="G6" s="9" t="s">
        <v>84</v>
      </c>
      <c r="H6" s="214">
        <v>226753</v>
      </c>
      <c r="I6" s="4" t="s">
        <v>871</v>
      </c>
      <c r="J6" s="217" t="s">
        <v>1540</v>
      </c>
      <c r="K6" s="21">
        <v>14955</v>
      </c>
      <c r="L6" s="23">
        <f t="shared" si="2"/>
        <v>76</v>
      </c>
      <c r="M6" s="23">
        <f t="shared" si="3"/>
        <v>87.1</v>
      </c>
      <c r="N6" s="8" t="str">
        <f ca="1" t="shared" si="4"/>
        <v> </v>
      </c>
      <c r="O6" s="8" t="str">
        <f t="shared" si="5"/>
        <v> </v>
      </c>
      <c r="P6" s="8" t="s">
        <v>1540</v>
      </c>
      <c r="Q6" s="2" t="s">
        <v>346</v>
      </c>
      <c r="R6" s="3">
        <v>1420</v>
      </c>
      <c r="S6" s="2" t="s">
        <v>535</v>
      </c>
      <c r="T6" s="2" t="s">
        <v>550</v>
      </c>
      <c r="U6" s="2" t="s">
        <v>31</v>
      </c>
      <c r="V6" s="9">
        <v>11.1</v>
      </c>
      <c r="W6" s="5">
        <f t="shared" si="6"/>
        <v>0</v>
      </c>
      <c r="X6" s="6">
        <f t="shared" si="7"/>
        <v>0</v>
      </c>
    </row>
    <row r="7" spans="1:24" ht="12">
      <c r="A7" s="2" t="s">
        <v>1092</v>
      </c>
      <c r="B7" s="196" t="s">
        <v>1480</v>
      </c>
      <c r="C7" s="2" t="s">
        <v>8</v>
      </c>
      <c r="D7" s="2" t="str">
        <f t="shared" si="0"/>
        <v>Bernard BASECQZ</v>
      </c>
      <c r="E7" s="2" t="str">
        <f t="shared" si="1"/>
        <v>BASECQZ Bernard</v>
      </c>
      <c r="F7" s="9">
        <v>36</v>
      </c>
      <c r="G7" s="9" t="s">
        <v>84</v>
      </c>
      <c r="H7" s="214">
        <v>355548</v>
      </c>
      <c r="I7" s="4" t="s">
        <v>32</v>
      </c>
      <c r="J7" s="217" t="s">
        <v>1540</v>
      </c>
      <c r="K7" s="21">
        <v>16725</v>
      </c>
      <c r="L7" s="23">
        <f t="shared" si="2"/>
        <v>71</v>
      </c>
      <c r="M7" s="23">
        <f t="shared" si="3"/>
        <v>107</v>
      </c>
      <c r="N7" s="8" t="str">
        <f ca="1" t="shared" si="4"/>
        <v> </v>
      </c>
      <c r="O7" s="8" t="str">
        <f t="shared" si="5"/>
        <v> </v>
      </c>
      <c r="P7" s="8"/>
      <c r="Q7" s="2" t="s">
        <v>186</v>
      </c>
      <c r="R7" s="3">
        <v>1640</v>
      </c>
      <c r="S7" s="2" t="s">
        <v>345</v>
      </c>
      <c r="T7" s="2"/>
      <c r="U7" s="2" t="s">
        <v>10</v>
      </c>
      <c r="V7" s="9">
        <v>36</v>
      </c>
      <c r="W7" s="5">
        <f t="shared" si="6"/>
        <v>0</v>
      </c>
      <c r="X7" s="6">
        <f t="shared" si="7"/>
        <v>0</v>
      </c>
    </row>
    <row r="8" spans="1:24" ht="12">
      <c r="A8" s="2" t="s">
        <v>1093</v>
      </c>
      <c r="B8" s="196" t="s">
        <v>1339</v>
      </c>
      <c r="C8" s="2" t="s">
        <v>8</v>
      </c>
      <c r="D8" s="2" t="str">
        <f t="shared" si="0"/>
        <v>Catherine BASECQZ</v>
      </c>
      <c r="E8" s="2" t="str">
        <f t="shared" si="1"/>
        <v>BASECQZ Catherine</v>
      </c>
      <c r="F8" s="9">
        <v>36</v>
      </c>
      <c r="G8" s="9" t="s">
        <v>84</v>
      </c>
      <c r="H8" s="214">
        <v>355548</v>
      </c>
      <c r="I8" s="4" t="s">
        <v>187</v>
      </c>
      <c r="J8" s="217" t="s">
        <v>1540</v>
      </c>
      <c r="K8" s="21"/>
      <c r="L8" s="23">
        <f t="shared" si="2"/>
        <v>117</v>
      </c>
      <c r="M8" s="23">
        <f t="shared" si="3"/>
        <v>153</v>
      </c>
      <c r="N8" s="8" t="str">
        <f ca="1" t="shared" si="4"/>
        <v> </v>
      </c>
      <c r="O8" s="8" t="str">
        <f t="shared" si="5"/>
        <v> </v>
      </c>
      <c r="P8" s="8"/>
      <c r="Q8" s="2" t="s">
        <v>186</v>
      </c>
      <c r="R8" s="3">
        <v>1640</v>
      </c>
      <c r="S8" s="2" t="s">
        <v>345</v>
      </c>
      <c r="T8" s="2"/>
      <c r="U8" s="2" t="s">
        <v>188</v>
      </c>
      <c r="V8" s="9">
        <v>36</v>
      </c>
      <c r="W8" s="5">
        <f t="shared" si="6"/>
        <v>0</v>
      </c>
      <c r="X8" s="6">
        <f t="shared" si="7"/>
        <v>0</v>
      </c>
    </row>
    <row r="9" spans="1:24" ht="12">
      <c r="A9" s="2" t="s">
        <v>1093</v>
      </c>
      <c r="B9" s="196" t="s">
        <v>1162</v>
      </c>
      <c r="C9" s="2" t="s">
        <v>1153</v>
      </c>
      <c r="D9" s="2" t="str">
        <f t="shared" si="0"/>
        <v>Béatrice BATAILLE de LONGPREY</v>
      </c>
      <c r="E9" s="2" t="str">
        <f t="shared" si="1"/>
        <v>BATAILLE de LONGPREY Béatrice</v>
      </c>
      <c r="F9" s="9">
        <v>27.7</v>
      </c>
      <c r="G9" s="9" t="s">
        <v>84</v>
      </c>
      <c r="H9" s="214">
        <v>1022455</v>
      </c>
      <c r="I9" s="4" t="s">
        <v>54</v>
      </c>
      <c r="J9" s="217" t="s">
        <v>1540</v>
      </c>
      <c r="K9" s="21">
        <v>23171</v>
      </c>
      <c r="L9" s="23">
        <f t="shared" si="2"/>
        <v>54</v>
      </c>
      <c r="M9" s="23">
        <f t="shared" si="3"/>
        <v>81.7</v>
      </c>
      <c r="N9" s="8" t="str">
        <f ca="1" t="shared" si="4"/>
        <v> </v>
      </c>
      <c r="O9" s="8" t="str">
        <f t="shared" si="5"/>
        <v> </v>
      </c>
      <c r="P9" s="8"/>
      <c r="Q9" s="2" t="s">
        <v>52</v>
      </c>
      <c r="R9" s="3">
        <v>1640</v>
      </c>
      <c r="S9" s="2" t="s">
        <v>345</v>
      </c>
      <c r="T9" s="2" t="s">
        <v>179</v>
      </c>
      <c r="U9" s="2" t="s">
        <v>180</v>
      </c>
      <c r="V9" s="9">
        <v>27.7</v>
      </c>
      <c r="W9" s="5">
        <f t="shared" si="6"/>
        <v>0</v>
      </c>
      <c r="X9" s="6">
        <f t="shared" si="7"/>
        <v>0</v>
      </c>
    </row>
    <row r="10" spans="1:24" ht="12">
      <c r="A10" s="2" t="s">
        <v>1093</v>
      </c>
      <c r="B10" s="196" t="s">
        <v>1269</v>
      </c>
      <c r="C10" s="2" t="s">
        <v>1153</v>
      </c>
      <c r="D10" s="2" t="str">
        <f t="shared" si="0"/>
        <v>Sabine BATAILLE de LONGPREY</v>
      </c>
      <c r="E10" s="2" t="str">
        <f t="shared" si="1"/>
        <v>BATAILLE de LONGPREY Sabine</v>
      </c>
      <c r="F10" s="9">
        <v>36</v>
      </c>
      <c r="G10" s="9" t="s">
        <v>83</v>
      </c>
      <c r="H10" s="214">
        <v>708061</v>
      </c>
      <c r="I10" s="4" t="s">
        <v>872</v>
      </c>
      <c r="J10" s="217"/>
      <c r="K10" s="21">
        <v>20019</v>
      </c>
      <c r="L10" s="23">
        <f t="shared" si="2"/>
        <v>62</v>
      </c>
      <c r="M10" s="23">
        <f t="shared" si="3"/>
        <v>98</v>
      </c>
      <c r="N10" s="8" t="str">
        <f ca="1" t="shared" si="4"/>
        <v> </v>
      </c>
      <c r="O10" s="8" t="str">
        <f t="shared" si="5"/>
        <v> </v>
      </c>
      <c r="P10" s="8"/>
      <c r="Q10" s="2" t="s">
        <v>511</v>
      </c>
      <c r="R10" s="3">
        <v>1410</v>
      </c>
      <c r="S10" s="2" t="s">
        <v>534</v>
      </c>
      <c r="T10" s="2" t="s">
        <v>487</v>
      </c>
      <c r="U10" s="2" t="s">
        <v>488</v>
      </c>
      <c r="V10" s="9">
        <v>36</v>
      </c>
      <c r="W10" s="5">
        <f t="shared" si="6"/>
        <v>0</v>
      </c>
      <c r="X10" s="6">
        <f t="shared" si="7"/>
        <v>0</v>
      </c>
    </row>
    <row r="11" spans="1:24" ht="12">
      <c r="A11" s="2" t="s">
        <v>1093</v>
      </c>
      <c r="B11" s="196" t="s">
        <v>1197</v>
      </c>
      <c r="C11" s="2" t="s">
        <v>171</v>
      </c>
      <c r="D11" s="2" t="str">
        <f t="shared" si="0"/>
        <v>Louise BATENBURG-CONREUR</v>
      </c>
      <c r="E11" s="2" t="str">
        <f t="shared" si="1"/>
        <v>BATENBURG-CONREUR Louise</v>
      </c>
      <c r="F11" s="9">
        <v>29.6</v>
      </c>
      <c r="G11" s="9" t="s">
        <v>84</v>
      </c>
      <c r="H11" s="214">
        <v>226900</v>
      </c>
      <c r="I11" s="4" t="s">
        <v>895</v>
      </c>
      <c r="J11" s="217" t="s">
        <v>1540</v>
      </c>
      <c r="K11" s="21">
        <v>16933</v>
      </c>
      <c r="L11" s="23">
        <f t="shared" si="2"/>
        <v>71</v>
      </c>
      <c r="M11" s="23">
        <f t="shared" si="3"/>
        <v>100.6</v>
      </c>
      <c r="N11" s="8" t="str">
        <f ca="1" t="shared" si="4"/>
        <v> </v>
      </c>
      <c r="O11" s="8" t="str">
        <f t="shared" si="5"/>
        <v> </v>
      </c>
      <c r="P11" s="8" t="s">
        <v>1540</v>
      </c>
      <c r="Q11" s="2" t="s">
        <v>664</v>
      </c>
      <c r="R11" s="3">
        <v>1410</v>
      </c>
      <c r="S11" s="2" t="s">
        <v>534</v>
      </c>
      <c r="T11" s="2" t="s">
        <v>454</v>
      </c>
      <c r="U11" s="2" t="s">
        <v>663</v>
      </c>
      <c r="V11" s="9">
        <v>29.6</v>
      </c>
      <c r="W11" s="5">
        <f t="shared" si="6"/>
        <v>0</v>
      </c>
      <c r="X11" s="6">
        <f t="shared" si="7"/>
        <v>0</v>
      </c>
    </row>
    <row r="12" spans="1:24" ht="12">
      <c r="A12" s="2" t="s">
        <v>1093</v>
      </c>
      <c r="B12" s="196" t="s">
        <v>1315</v>
      </c>
      <c r="C12" s="2" t="s">
        <v>50</v>
      </c>
      <c r="D12" s="2" t="str">
        <f t="shared" si="0"/>
        <v>Michèle BAUBE</v>
      </c>
      <c r="E12" s="2" t="str">
        <f t="shared" si="1"/>
        <v>BAUBE Michèle</v>
      </c>
      <c r="F12" s="9">
        <v>34</v>
      </c>
      <c r="G12" s="9" t="s">
        <v>84</v>
      </c>
      <c r="H12" s="214">
        <v>237412</v>
      </c>
      <c r="I12" s="4" t="s">
        <v>53</v>
      </c>
      <c r="J12" s="217" t="s">
        <v>1540</v>
      </c>
      <c r="K12" s="21">
        <v>18799</v>
      </c>
      <c r="L12" s="23">
        <f t="shared" si="2"/>
        <v>65</v>
      </c>
      <c r="M12" s="23">
        <f t="shared" si="3"/>
        <v>99</v>
      </c>
      <c r="N12" s="8" t="str">
        <f ca="1" t="shared" si="4"/>
        <v> </v>
      </c>
      <c r="O12" s="8" t="str">
        <f t="shared" si="5"/>
        <v> </v>
      </c>
      <c r="P12" s="8"/>
      <c r="Q12" s="2" t="s">
        <v>55</v>
      </c>
      <c r="R12" s="3">
        <v>1410</v>
      </c>
      <c r="S12" s="2" t="s">
        <v>534</v>
      </c>
      <c r="T12" s="2"/>
      <c r="U12" s="2" t="s">
        <v>56</v>
      </c>
      <c r="V12" s="9">
        <v>34</v>
      </c>
      <c r="W12" s="5">
        <f t="shared" si="6"/>
        <v>0</v>
      </c>
      <c r="X12" s="6">
        <f t="shared" si="7"/>
        <v>0</v>
      </c>
    </row>
    <row r="13" spans="1:24" ht="12">
      <c r="A13" s="2" t="s">
        <v>1093</v>
      </c>
      <c r="B13" s="196" t="s">
        <v>1349</v>
      </c>
      <c r="C13" s="2" t="s">
        <v>110</v>
      </c>
      <c r="D13" s="2" t="str">
        <f t="shared" si="0"/>
        <v>Christine BENADIA</v>
      </c>
      <c r="E13" s="2" t="str">
        <f t="shared" si="1"/>
        <v>BENADIA Christine</v>
      </c>
      <c r="F13" s="9">
        <v>20.3</v>
      </c>
      <c r="G13" s="9"/>
      <c r="H13" s="214">
        <v>709869</v>
      </c>
      <c r="I13" s="4" t="s">
        <v>114</v>
      </c>
      <c r="J13" s="217" t="s">
        <v>1540</v>
      </c>
      <c r="K13" s="21">
        <v>20844</v>
      </c>
      <c r="L13" s="23">
        <f t="shared" si="2"/>
        <v>60</v>
      </c>
      <c r="M13" s="23">
        <f t="shared" si="3"/>
        <v>80.3</v>
      </c>
      <c r="N13" s="8" t="str">
        <f ca="1" t="shared" si="4"/>
        <v> </v>
      </c>
      <c r="O13" s="8"/>
      <c r="P13" s="8"/>
      <c r="Q13" s="2" t="s">
        <v>115</v>
      </c>
      <c r="R13" s="3">
        <v>1180</v>
      </c>
      <c r="S13" s="2" t="s">
        <v>1953</v>
      </c>
      <c r="T13" s="2" t="s">
        <v>120</v>
      </c>
      <c r="U13" s="2" t="s">
        <v>121</v>
      </c>
      <c r="V13" s="9">
        <v>20.3</v>
      </c>
      <c r="W13" s="5">
        <f t="shared" si="6"/>
        <v>0</v>
      </c>
      <c r="X13" s="6">
        <f t="shared" si="7"/>
        <v>0</v>
      </c>
    </row>
    <row r="14" spans="1:24" ht="12">
      <c r="A14" s="2" t="s">
        <v>1092</v>
      </c>
      <c r="B14" s="196" t="s">
        <v>1230</v>
      </c>
      <c r="C14" s="2" t="s">
        <v>111</v>
      </c>
      <c r="D14" s="2" t="str">
        <f t="shared" si="0"/>
        <v>Jacqueline BENE</v>
      </c>
      <c r="E14" s="2" t="str">
        <f t="shared" si="1"/>
        <v>BENE Jacqueline</v>
      </c>
      <c r="F14" s="9">
        <v>16.1</v>
      </c>
      <c r="G14" s="9" t="s">
        <v>84</v>
      </c>
      <c r="H14" s="214">
        <v>236766</v>
      </c>
      <c r="I14" s="4" t="s">
        <v>35</v>
      </c>
      <c r="J14" s="217"/>
      <c r="K14" s="21">
        <v>15373</v>
      </c>
      <c r="L14" s="23">
        <f t="shared" si="2"/>
        <v>75</v>
      </c>
      <c r="M14" s="23">
        <f t="shared" si="3"/>
        <v>91.1</v>
      </c>
      <c r="N14" s="8" t="str">
        <f ca="1" t="shared" si="4"/>
        <v> </v>
      </c>
      <c r="O14" s="8" t="str">
        <f aca="true" t="shared" si="8" ref="O14:O26">IF((IF(DAY(K14)=DAY(dc),1,0)+IF(MONTH(K14)=MONTH(dc),1,0))=2,"y"," ")</f>
        <v> </v>
      </c>
      <c r="P14" s="8"/>
      <c r="Q14" s="2" t="s">
        <v>1966</v>
      </c>
      <c r="R14" s="3">
        <v>1000</v>
      </c>
      <c r="S14" s="2" t="s">
        <v>546</v>
      </c>
      <c r="T14" s="2"/>
      <c r="U14" s="2"/>
      <c r="V14" s="9">
        <v>16.1</v>
      </c>
      <c r="W14" s="5">
        <f t="shared" si="6"/>
        <v>0</v>
      </c>
      <c r="X14" s="6">
        <f t="shared" si="7"/>
        <v>0</v>
      </c>
    </row>
    <row r="15" spans="1:24" ht="12">
      <c r="A15" s="2" t="s">
        <v>1092</v>
      </c>
      <c r="B15" s="196" t="s">
        <v>1965</v>
      </c>
      <c r="C15" s="2" t="s">
        <v>111</v>
      </c>
      <c r="D15" s="2" t="str">
        <f t="shared" si="0"/>
        <v>Pierre-Yves BENE</v>
      </c>
      <c r="E15" s="2" t="str">
        <f t="shared" si="1"/>
        <v>BENE Pierre-Yves</v>
      </c>
      <c r="F15" s="9">
        <v>18.2</v>
      </c>
      <c r="G15" s="9" t="s">
        <v>83</v>
      </c>
      <c r="H15" s="214">
        <v>226141</v>
      </c>
      <c r="I15" s="4" t="s">
        <v>35</v>
      </c>
      <c r="J15" s="217"/>
      <c r="K15" s="21">
        <v>14338</v>
      </c>
      <c r="L15" s="23">
        <f t="shared" si="2"/>
        <v>78</v>
      </c>
      <c r="M15" s="23">
        <f t="shared" si="3"/>
        <v>96.2</v>
      </c>
      <c r="N15" s="8" t="str">
        <f ca="1" t="shared" si="4"/>
        <v> </v>
      </c>
      <c r="O15" s="8" t="str">
        <f t="shared" si="8"/>
        <v> </v>
      </c>
      <c r="P15" s="8"/>
      <c r="Q15" s="2" t="s">
        <v>1966</v>
      </c>
      <c r="R15" s="3">
        <v>1000</v>
      </c>
      <c r="S15" s="2" t="s">
        <v>546</v>
      </c>
      <c r="T15" s="2"/>
      <c r="U15" s="2"/>
      <c r="V15" s="9">
        <v>18.2</v>
      </c>
      <c r="W15" s="5">
        <f t="shared" si="6"/>
        <v>0</v>
      </c>
      <c r="X15" s="6">
        <f t="shared" si="7"/>
        <v>0</v>
      </c>
    </row>
    <row r="16" spans="1:24" ht="12">
      <c r="A16" s="2" t="s">
        <v>1093</v>
      </c>
      <c r="B16" s="196" t="s">
        <v>1169</v>
      </c>
      <c r="C16" s="2" t="s">
        <v>1848</v>
      </c>
      <c r="D16" s="2" t="str">
        <f t="shared" si="0"/>
        <v>Martine BERBEN</v>
      </c>
      <c r="E16" s="2" t="str">
        <f t="shared" si="1"/>
        <v>BERBEN Martine</v>
      </c>
      <c r="F16" s="9">
        <v>28.3</v>
      </c>
      <c r="G16" s="9" t="s">
        <v>84</v>
      </c>
      <c r="H16" s="214">
        <v>254633</v>
      </c>
      <c r="I16" s="4" t="s">
        <v>886</v>
      </c>
      <c r="J16" s="217" t="s">
        <v>1540</v>
      </c>
      <c r="K16" s="21">
        <v>17097</v>
      </c>
      <c r="L16" s="23">
        <f t="shared" si="2"/>
        <v>70</v>
      </c>
      <c r="M16" s="23">
        <f t="shared" si="3"/>
        <v>98.3</v>
      </c>
      <c r="N16" s="8" t="str">
        <f ca="1" t="shared" si="4"/>
        <v> </v>
      </c>
      <c r="O16" s="8" t="str">
        <f t="shared" si="8"/>
        <v> </v>
      </c>
      <c r="P16" s="8" t="s">
        <v>1540</v>
      </c>
      <c r="Q16" s="2" t="s">
        <v>498</v>
      </c>
      <c r="R16" s="3">
        <v>1410</v>
      </c>
      <c r="S16" s="2" t="s">
        <v>534</v>
      </c>
      <c r="T16" s="2" t="s">
        <v>499</v>
      </c>
      <c r="U16" s="2" t="s">
        <v>456</v>
      </c>
      <c r="V16" s="9">
        <v>28.3</v>
      </c>
      <c r="W16" s="5">
        <f t="shared" si="6"/>
        <v>0</v>
      </c>
      <c r="X16" s="6">
        <f t="shared" si="7"/>
        <v>0</v>
      </c>
    </row>
    <row r="17" spans="1:24" ht="12">
      <c r="A17" s="2" t="s">
        <v>1092</v>
      </c>
      <c r="B17" s="196" t="s">
        <v>1228</v>
      </c>
      <c r="C17" s="2" t="s">
        <v>1154</v>
      </c>
      <c r="D17" s="2" t="str">
        <f t="shared" si="0"/>
        <v>François BERRYER</v>
      </c>
      <c r="E17" s="2" t="str">
        <f t="shared" si="1"/>
        <v>BERRYER François</v>
      </c>
      <c r="F17" s="9">
        <v>36</v>
      </c>
      <c r="G17" s="9" t="s">
        <v>84</v>
      </c>
      <c r="H17" s="214">
        <v>226782</v>
      </c>
      <c r="I17" s="4" t="s">
        <v>873</v>
      </c>
      <c r="J17" s="217"/>
      <c r="K17" s="21">
        <v>11038</v>
      </c>
      <c r="L17" s="23">
        <f t="shared" si="2"/>
        <v>87</v>
      </c>
      <c r="M17" s="23">
        <f t="shared" si="3"/>
        <v>123</v>
      </c>
      <c r="N17" s="8" t="str">
        <f ca="1" t="shared" si="4"/>
        <v> </v>
      </c>
      <c r="O17" s="8" t="str">
        <f t="shared" si="8"/>
        <v> </v>
      </c>
      <c r="P17" s="8"/>
      <c r="Q17" s="2" t="s">
        <v>565</v>
      </c>
      <c r="R17" s="3">
        <v>1640</v>
      </c>
      <c r="S17" s="2" t="s">
        <v>345</v>
      </c>
      <c r="T17" s="2" t="s">
        <v>566</v>
      </c>
      <c r="U17" s="2" t="s">
        <v>687</v>
      </c>
      <c r="V17" s="9">
        <v>36</v>
      </c>
      <c r="W17" s="5">
        <f t="shared" si="6"/>
        <v>0</v>
      </c>
      <c r="X17" s="6">
        <f t="shared" si="7"/>
        <v>0</v>
      </c>
    </row>
    <row r="18" spans="1:24" ht="12">
      <c r="A18" s="2" t="s">
        <v>1093</v>
      </c>
      <c r="B18" s="196" t="s">
        <v>1159</v>
      </c>
      <c r="C18" s="2" t="s">
        <v>1155</v>
      </c>
      <c r="D18" s="2" t="str">
        <f t="shared" si="0"/>
        <v>Michele BLAIMONT </v>
      </c>
      <c r="E18" s="2" t="str">
        <f t="shared" si="1"/>
        <v>BLAIMONT  Michele</v>
      </c>
      <c r="F18" s="9">
        <v>13.5</v>
      </c>
      <c r="G18" s="9" t="s">
        <v>84</v>
      </c>
      <c r="H18" s="214">
        <v>226794</v>
      </c>
      <c r="I18" s="4" t="s">
        <v>1945</v>
      </c>
      <c r="J18" s="217" t="s">
        <v>1540</v>
      </c>
      <c r="K18" s="21">
        <v>16235</v>
      </c>
      <c r="L18" s="23">
        <f t="shared" si="2"/>
        <v>73</v>
      </c>
      <c r="M18" s="23">
        <f t="shared" si="3"/>
        <v>86.5</v>
      </c>
      <c r="N18" s="8" t="str">
        <f ca="1" t="shared" si="4"/>
        <v> </v>
      </c>
      <c r="O18" s="8" t="str">
        <f t="shared" si="8"/>
        <v> </v>
      </c>
      <c r="P18" s="8" t="s">
        <v>1540</v>
      </c>
      <c r="Q18" s="2" t="s">
        <v>560</v>
      </c>
      <c r="R18" s="3">
        <v>1420</v>
      </c>
      <c r="S18" s="2" t="s">
        <v>535</v>
      </c>
      <c r="T18" s="2" t="s">
        <v>561</v>
      </c>
      <c r="U18" s="2" t="s">
        <v>562</v>
      </c>
      <c r="V18" s="9">
        <v>13.5</v>
      </c>
      <c r="W18" s="5">
        <f t="shared" si="6"/>
        <v>0</v>
      </c>
      <c r="X18" s="6">
        <f t="shared" si="7"/>
        <v>0</v>
      </c>
    </row>
    <row r="19" spans="1:24" ht="12">
      <c r="A19" s="2" t="s">
        <v>1092</v>
      </c>
      <c r="B19" s="196" t="s">
        <v>1156</v>
      </c>
      <c r="C19" s="2" t="s">
        <v>1155</v>
      </c>
      <c r="D19" s="2" t="str">
        <f t="shared" si="0"/>
        <v>Pol BLAIMONT </v>
      </c>
      <c r="E19" s="2" t="str">
        <f t="shared" si="1"/>
        <v>BLAIMONT  Pol</v>
      </c>
      <c r="F19" s="9">
        <v>26.2</v>
      </c>
      <c r="G19" s="9" t="s">
        <v>84</v>
      </c>
      <c r="H19" s="214">
        <v>226793</v>
      </c>
      <c r="I19" s="4" t="s">
        <v>874</v>
      </c>
      <c r="J19" s="217"/>
      <c r="K19" s="21">
        <v>11773</v>
      </c>
      <c r="L19" s="23">
        <f t="shared" si="2"/>
        <v>85</v>
      </c>
      <c r="M19" s="23">
        <f t="shared" si="3"/>
        <v>111.2</v>
      </c>
      <c r="N19" s="8" t="str">
        <f ca="1" t="shared" si="4"/>
        <v> </v>
      </c>
      <c r="O19" s="8" t="str">
        <f t="shared" si="8"/>
        <v> </v>
      </c>
      <c r="P19" s="8" t="s">
        <v>1540</v>
      </c>
      <c r="Q19" s="2" t="s">
        <v>560</v>
      </c>
      <c r="R19" s="3">
        <v>1420</v>
      </c>
      <c r="S19" s="2" t="s">
        <v>535</v>
      </c>
      <c r="T19" s="2" t="s">
        <v>561</v>
      </c>
      <c r="U19" s="2" t="s">
        <v>515</v>
      </c>
      <c r="V19" s="9">
        <v>26.2</v>
      </c>
      <c r="W19" s="5">
        <f t="shared" si="6"/>
        <v>0</v>
      </c>
      <c r="X19" s="6">
        <f t="shared" si="7"/>
        <v>0</v>
      </c>
    </row>
    <row r="20" spans="1:24" ht="12">
      <c r="A20" s="2" t="s">
        <v>1093</v>
      </c>
      <c r="B20" s="196" t="s">
        <v>1158</v>
      </c>
      <c r="C20" s="2" t="s">
        <v>1157</v>
      </c>
      <c r="D20" s="2" t="str">
        <f t="shared" si="0"/>
        <v>Marie-Paule BLUM </v>
      </c>
      <c r="E20" s="2" t="str">
        <f t="shared" si="1"/>
        <v>BLUM  Marie-Paule</v>
      </c>
      <c r="F20" s="9">
        <v>32.4</v>
      </c>
      <c r="G20" s="9" t="s">
        <v>84</v>
      </c>
      <c r="H20" s="214">
        <v>226806</v>
      </c>
      <c r="I20" s="4" t="s">
        <v>875</v>
      </c>
      <c r="J20" s="217"/>
      <c r="K20" s="21">
        <v>17238</v>
      </c>
      <c r="L20" s="23">
        <f t="shared" si="2"/>
        <v>70</v>
      </c>
      <c r="M20" s="23">
        <f t="shared" si="3"/>
        <v>102.4</v>
      </c>
      <c r="N20" s="8" t="str">
        <f ca="1" t="shared" si="4"/>
        <v> </v>
      </c>
      <c r="O20" s="8" t="str">
        <f t="shared" si="8"/>
        <v> </v>
      </c>
      <c r="P20" s="8"/>
      <c r="Q20" s="2" t="s">
        <v>697</v>
      </c>
      <c r="R20" s="3">
        <v>1180</v>
      </c>
      <c r="S20" s="2" t="s">
        <v>546</v>
      </c>
      <c r="T20" s="2" t="s">
        <v>698</v>
      </c>
      <c r="U20" s="2" t="s">
        <v>699</v>
      </c>
      <c r="V20" s="9">
        <v>32.4</v>
      </c>
      <c r="W20" s="5">
        <f t="shared" si="6"/>
        <v>0</v>
      </c>
      <c r="X20" s="6">
        <f t="shared" si="7"/>
        <v>0</v>
      </c>
    </row>
    <row r="21" spans="1:24" ht="12">
      <c r="A21" s="2" t="s">
        <v>1092</v>
      </c>
      <c r="B21" s="196" t="s">
        <v>1150</v>
      </c>
      <c r="C21" s="2" t="s">
        <v>1172</v>
      </c>
      <c r="D21" s="2" t="str">
        <f t="shared" si="0"/>
        <v>Eric BOIGELOT </v>
      </c>
      <c r="E21" s="2" t="str">
        <f t="shared" si="1"/>
        <v>BOIGELOT  Eric</v>
      </c>
      <c r="F21" s="9">
        <v>4.8</v>
      </c>
      <c r="G21" s="9" t="s">
        <v>84</v>
      </c>
      <c r="H21" s="214">
        <v>226807</v>
      </c>
      <c r="I21" s="4" t="s">
        <v>876</v>
      </c>
      <c r="J21" s="217"/>
      <c r="K21" s="21">
        <v>19971</v>
      </c>
      <c r="L21" s="23">
        <f t="shared" si="2"/>
        <v>62</v>
      </c>
      <c r="M21" s="23">
        <f t="shared" si="3"/>
        <v>66.8</v>
      </c>
      <c r="N21" s="8" t="str">
        <f ca="1" t="shared" si="4"/>
        <v> </v>
      </c>
      <c r="O21" s="8" t="str">
        <f t="shared" si="8"/>
        <v> </v>
      </c>
      <c r="P21" s="8"/>
      <c r="Q21" s="2" t="s">
        <v>858</v>
      </c>
      <c r="R21" s="3">
        <v>1640</v>
      </c>
      <c r="S21" s="2" t="s">
        <v>345</v>
      </c>
      <c r="T21" s="2"/>
      <c r="U21" s="2" t="s">
        <v>769</v>
      </c>
      <c r="V21" s="9">
        <v>4.8</v>
      </c>
      <c r="W21" s="5">
        <f t="shared" si="6"/>
        <v>0</v>
      </c>
      <c r="X21" s="6">
        <f t="shared" si="7"/>
        <v>0</v>
      </c>
    </row>
    <row r="22" spans="1:24" ht="12">
      <c r="A22" s="2" t="s">
        <v>1092</v>
      </c>
      <c r="B22" s="196" t="s">
        <v>1160</v>
      </c>
      <c r="C22" s="2" t="s">
        <v>1173</v>
      </c>
      <c r="D22" s="2" t="str">
        <f t="shared" si="0"/>
        <v>Jacques BOLLE</v>
      </c>
      <c r="E22" s="2" t="str">
        <f t="shared" si="1"/>
        <v>BOLLE Jacques</v>
      </c>
      <c r="F22" s="9">
        <v>22.7</v>
      </c>
      <c r="G22" s="9" t="s">
        <v>84</v>
      </c>
      <c r="H22" s="214">
        <v>226810</v>
      </c>
      <c r="I22" s="4" t="s">
        <v>877</v>
      </c>
      <c r="J22" s="217"/>
      <c r="K22" s="21">
        <v>10826</v>
      </c>
      <c r="L22" s="23">
        <f t="shared" si="2"/>
        <v>87</v>
      </c>
      <c r="M22" s="23">
        <f t="shared" si="3"/>
        <v>109.7</v>
      </c>
      <c r="N22" s="8" t="str">
        <f ca="1" t="shared" si="4"/>
        <v> </v>
      </c>
      <c r="O22" s="8" t="str">
        <f t="shared" si="8"/>
        <v> </v>
      </c>
      <c r="P22" s="8"/>
      <c r="Q22" s="2" t="s">
        <v>567</v>
      </c>
      <c r="R22" s="3">
        <v>1970</v>
      </c>
      <c r="S22" s="2" t="s">
        <v>700</v>
      </c>
      <c r="T22" s="2" t="s">
        <v>568</v>
      </c>
      <c r="U22" s="2"/>
      <c r="V22" s="9">
        <v>22.7</v>
      </c>
      <c r="W22" s="5">
        <f t="shared" si="6"/>
        <v>0</v>
      </c>
      <c r="X22" s="6">
        <f t="shared" si="7"/>
        <v>0</v>
      </c>
    </row>
    <row r="23" spans="1:24" ht="12">
      <c r="A23" s="2" t="s">
        <v>1092</v>
      </c>
      <c r="B23" s="196" t="s">
        <v>1161</v>
      </c>
      <c r="C23" s="2" t="s">
        <v>1174</v>
      </c>
      <c r="D23" s="2" t="str">
        <f t="shared" si="0"/>
        <v>Eduard BOSCHLOOS </v>
      </c>
      <c r="E23" s="2" t="str">
        <f t="shared" si="1"/>
        <v>BOSCHLOOS  Eduard</v>
      </c>
      <c r="F23" s="9">
        <v>14.6</v>
      </c>
      <c r="G23" s="9" t="s">
        <v>84</v>
      </c>
      <c r="H23" s="214">
        <v>226815</v>
      </c>
      <c r="I23" s="4" t="s">
        <v>878</v>
      </c>
      <c r="J23" s="217" t="s">
        <v>1540</v>
      </c>
      <c r="K23" s="21">
        <v>19079</v>
      </c>
      <c r="L23" s="23">
        <f t="shared" si="2"/>
        <v>65</v>
      </c>
      <c r="M23" s="23">
        <f t="shared" si="3"/>
        <v>79.6</v>
      </c>
      <c r="N23" s="8" t="str">
        <f ca="1" t="shared" si="4"/>
        <v> </v>
      </c>
      <c r="O23" s="8" t="str">
        <f t="shared" si="8"/>
        <v> </v>
      </c>
      <c r="P23" s="8" t="s">
        <v>1540</v>
      </c>
      <c r="Q23" s="2" t="s">
        <v>753</v>
      </c>
      <c r="R23" s="3">
        <v>1180</v>
      </c>
      <c r="S23" s="2" t="s">
        <v>546</v>
      </c>
      <c r="T23" s="2"/>
      <c r="U23" s="2" t="s">
        <v>754</v>
      </c>
      <c r="V23" s="9">
        <v>14.6</v>
      </c>
      <c r="W23" s="5">
        <f t="shared" si="6"/>
        <v>0</v>
      </c>
      <c r="X23" s="6">
        <f t="shared" si="7"/>
        <v>0</v>
      </c>
    </row>
    <row r="24" spans="1:24" ht="12">
      <c r="A24" s="2" t="s">
        <v>1092</v>
      </c>
      <c r="B24" s="196" t="s">
        <v>1480</v>
      </c>
      <c r="C24" s="2" t="s">
        <v>1823</v>
      </c>
      <c r="D24" s="2" t="str">
        <f t="shared" si="0"/>
        <v>Bernard BOULANGE</v>
      </c>
      <c r="E24" s="2" t="str">
        <f t="shared" si="1"/>
        <v>BOULANGE Bernard</v>
      </c>
      <c r="F24" s="9">
        <v>30.1</v>
      </c>
      <c r="G24" s="9" t="s">
        <v>84</v>
      </c>
      <c r="H24" s="214">
        <v>254640</v>
      </c>
      <c r="I24" s="4" t="s">
        <v>1847</v>
      </c>
      <c r="J24" s="217" t="s">
        <v>1540</v>
      </c>
      <c r="K24" s="21">
        <v>18295</v>
      </c>
      <c r="L24" s="23">
        <f t="shared" si="2"/>
        <v>67</v>
      </c>
      <c r="M24" s="23">
        <f t="shared" si="3"/>
        <v>97.1</v>
      </c>
      <c r="N24" s="8" t="str">
        <f ca="1" t="shared" si="4"/>
        <v> </v>
      </c>
      <c r="O24" s="8" t="str">
        <f t="shared" si="8"/>
        <v> </v>
      </c>
      <c r="P24" s="8" t="s">
        <v>1540</v>
      </c>
      <c r="Q24" s="2" t="s">
        <v>1844</v>
      </c>
      <c r="R24" s="3">
        <v>1640</v>
      </c>
      <c r="S24" s="2" t="s">
        <v>345</v>
      </c>
      <c r="T24" s="2" t="s">
        <v>1846</v>
      </c>
      <c r="U24" s="2" t="s">
        <v>1845</v>
      </c>
      <c r="V24" s="9">
        <v>30.1</v>
      </c>
      <c r="W24" s="5">
        <f t="shared" si="6"/>
        <v>0</v>
      </c>
      <c r="X24" s="6">
        <f t="shared" si="7"/>
        <v>0</v>
      </c>
    </row>
    <row r="25" spans="1:24" ht="12">
      <c r="A25" s="2" t="s">
        <v>1093</v>
      </c>
      <c r="B25" s="196" t="s">
        <v>1162</v>
      </c>
      <c r="C25" s="2" t="s">
        <v>1175</v>
      </c>
      <c r="D25" s="2" t="str">
        <f t="shared" si="0"/>
        <v>Béatrice BOUQUET</v>
      </c>
      <c r="E25" s="2" t="str">
        <f t="shared" si="1"/>
        <v>BOUQUET Béatrice</v>
      </c>
      <c r="F25" s="9">
        <v>24.2</v>
      </c>
      <c r="G25" s="9" t="s">
        <v>84</v>
      </c>
      <c r="H25" s="214">
        <v>1000631</v>
      </c>
      <c r="I25" s="4" t="s">
        <v>879</v>
      </c>
      <c r="J25" s="217" t="s">
        <v>1540</v>
      </c>
      <c r="K25" s="21">
        <v>20903</v>
      </c>
      <c r="L25" s="23">
        <f t="shared" si="2"/>
        <v>60</v>
      </c>
      <c r="M25" s="23">
        <f t="shared" si="3"/>
        <v>84.2</v>
      </c>
      <c r="N25" s="8" t="str">
        <f ca="1" t="shared" si="4"/>
        <v> </v>
      </c>
      <c r="O25" s="8" t="str">
        <f t="shared" si="8"/>
        <v> </v>
      </c>
      <c r="P25" s="8"/>
      <c r="Q25" s="2" t="s">
        <v>762</v>
      </c>
      <c r="R25" s="3">
        <v>1640</v>
      </c>
      <c r="S25" s="2" t="s">
        <v>345</v>
      </c>
      <c r="T25" s="2"/>
      <c r="U25" s="2" t="s">
        <v>770</v>
      </c>
      <c r="V25" s="9">
        <v>24.2</v>
      </c>
      <c r="W25" s="5">
        <f t="shared" si="6"/>
        <v>0</v>
      </c>
      <c r="X25" s="6">
        <f t="shared" si="7"/>
        <v>0</v>
      </c>
    </row>
    <row r="26" spans="1:24" ht="12">
      <c r="A26" s="2" t="s">
        <v>1092</v>
      </c>
      <c r="B26" s="196" t="s">
        <v>1160</v>
      </c>
      <c r="C26" s="2" t="s">
        <v>1176</v>
      </c>
      <c r="D26" s="2" t="str">
        <f t="shared" si="0"/>
        <v>Jacques BRABANT </v>
      </c>
      <c r="E26" s="2" t="str">
        <f t="shared" si="1"/>
        <v>BRABANT  Jacques</v>
      </c>
      <c r="F26" s="9">
        <v>25.3</v>
      </c>
      <c r="G26" s="9" t="s">
        <v>84</v>
      </c>
      <c r="H26" s="214">
        <v>226827</v>
      </c>
      <c r="I26" s="4" t="s">
        <v>880</v>
      </c>
      <c r="J26" s="217" t="s">
        <v>1540</v>
      </c>
      <c r="K26" s="21">
        <v>10113</v>
      </c>
      <c r="L26" s="23">
        <f t="shared" si="2"/>
        <v>89</v>
      </c>
      <c r="M26" s="23">
        <f t="shared" si="3"/>
        <v>114.3</v>
      </c>
      <c r="N26" s="8" t="str">
        <f ca="1" t="shared" si="4"/>
        <v> </v>
      </c>
      <c r="O26" s="8" t="str">
        <f t="shared" si="8"/>
        <v> </v>
      </c>
      <c r="P26" s="8" t="s">
        <v>1540</v>
      </c>
      <c r="Q26" s="2" t="s">
        <v>717</v>
      </c>
      <c r="R26" s="3">
        <v>1410</v>
      </c>
      <c r="S26" s="2" t="s">
        <v>534</v>
      </c>
      <c r="T26" s="2" t="s">
        <v>569</v>
      </c>
      <c r="U26" s="2" t="s">
        <v>718</v>
      </c>
      <c r="V26" s="9">
        <v>25.3</v>
      </c>
      <c r="W26" s="5">
        <f t="shared" si="6"/>
        <v>0</v>
      </c>
      <c r="X26" s="6">
        <f t="shared" si="7"/>
        <v>0</v>
      </c>
    </row>
    <row r="27" spans="1:24" ht="12">
      <c r="A27" s="2" t="s">
        <v>1092</v>
      </c>
      <c r="B27" s="196" t="s">
        <v>1302</v>
      </c>
      <c r="C27" s="2" t="s">
        <v>113</v>
      </c>
      <c r="D27" s="2" t="str">
        <f t="shared" si="0"/>
        <v>Jean-François BRACHOTTE</v>
      </c>
      <c r="E27" s="2" t="str">
        <f t="shared" si="1"/>
        <v>BRACHOTTE Jean-François</v>
      </c>
      <c r="F27" s="9">
        <v>36</v>
      </c>
      <c r="G27" s="9"/>
      <c r="H27" s="214">
        <v>1025014</v>
      </c>
      <c r="I27" s="4" t="s">
        <v>117</v>
      </c>
      <c r="J27" s="217" t="s">
        <v>1540</v>
      </c>
      <c r="K27" s="21">
        <v>18317</v>
      </c>
      <c r="L27" s="23">
        <f t="shared" si="2"/>
        <v>67</v>
      </c>
      <c r="M27" s="23">
        <f t="shared" si="3"/>
        <v>103</v>
      </c>
      <c r="N27" s="8" t="str">
        <f ca="1" t="shared" si="4"/>
        <v> </v>
      </c>
      <c r="O27" s="8"/>
      <c r="P27" s="8"/>
      <c r="Q27" s="2" t="s">
        <v>118</v>
      </c>
      <c r="R27" s="3">
        <v>1180</v>
      </c>
      <c r="S27" s="2" t="s">
        <v>1953</v>
      </c>
      <c r="T27" s="2" t="s">
        <v>116</v>
      </c>
      <c r="U27" s="2" t="s">
        <v>119</v>
      </c>
      <c r="V27" s="9">
        <v>36</v>
      </c>
      <c r="W27" s="5">
        <f t="shared" si="6"/>
        <v>0</v>
      </c>
      <c r="X27" s="6">
        <f t="shared" si="7"/>
        <v>0</v>
      </c>
    </row>
    <row r="28" spans="1:24" ht="12">
      <c r="A28" s="2" t="s">
        <v>1092</v>
      </c>
      <c r="B28" s="196" t="s">
        <v>1160</v>
      </c>
      <c r="C28" s="2" t="s">
        <v>1177</v>
      </c>
      <c r="D28" s="2" t="str">
        <f t="shared" si="0"/>
        <v>Jacques BRAEKMAN </v>
      </c>
      <c r="E28" s="2" t="str">
        <f t="shared" si="1"/>
        <v>BRAEKMAN  Jacques</v>
      </c>
      <c r="F28" s="9">
        <v>18.1</v>
      </c>
      <c r="G28" s="9" t="s">
        <v>84</v>
      </c>
      <c r="H28" s="214">
        <v>226828</v>
      </c>
      <c r="I28" s="4" t="s">
        <v>881</v>
      </c>
      <c r="J28" s="217" t="s">
        <v>1540</v>
      </c>
      <c r="K28" s="21">
        <v>15776</v>
      </c>
      <c r="L28" s="23">
        <f t="shared" si="2"/>
        <v>74</v>
      </c>
      <c r="M28" s="23">
        <f t="shared" si="3"/>
        <v>92.1</v>
      </c>
      <c r="N28" s="8" t="str">
        <f ca="1" t="shared" si="4"/>
        <v> </v>
      </c>
      <c r="O28" s="8" t="str">
        <f aca="true" t="shared" si="9" ref="O28:O91">IF((IF(DAY(K28)=DAY(dc),1,0)+IF(MONTH(K28)=MONTH(dc),1,0))=2,"y"," ")</f>
        <v> </v>
      </c>
      <c r="P28" s="8" t="s">
        <v>1540</v>
      </c>
      <c r="Q28" s="2" t="s">
        <v>787</v>
      </c>
      <c r="R28" s="3">
        <v>1472</v>
      </c>
      <c r="S28" s="2" t="s">
        <v>788</v>
      </c>
      <c r="T28" s="2" t="s">
        <v>789</v>
      </c>
      <c r="U28" s="2" t="s">
        <v>524</v>
      </c>
      <c r="V28" s="9">
        <v>18.1</v>
      </c>
      <c r="W28" s="5">
        <f t="shared" si="6"/>
        <v>0</v>
      </c>
      <c r="X28" s="6">
        <f t="shared" si="7"/>
        <v>0</v>
      </c>
    </row>
    <row r="29" spans="1:24" ht="12">
      <c r="A29" s="2" t="s">
        <v>1093</v>
      </c>
      <c r="B29" s="196" t="s">
        <v>1163</v>
      </c>
      <c r="C29" s="2" t="s">
        <v>1178</v>
      </c>
      <c r="D29" s="2" t="str">
        <f t="shared" si="0"/>
        <v>Francine BRAEM </v>
      </c>
      <c r="E29" s="2" t="str">
        <f t="shared" si="1"/>
        <v>BRAEM  Francine</v>
      </c>
      <c r="F29" s="9">
        <v>20</v>
      </c>
      <c r="G29" s="9" t="s">
        <v>83</v>
      </c>
      <c r="H29" s="214">
        <v>226829</v>
      </c>
      <c r="I29" s="4" t="s">
        <v>882</v>
      </c>
      <c r="J29" s="217"/>
      <c r="K29" s="21">
        <v>17222</v>
      </c>
      <c r="L29" s="23">
        <f t="shared" si="2"/>
        <v>70</v>
      </c>
      <c r="M29" s="23">
        <f t="shared" si="3"/>
        <v>90</v>
      </c>
      <c r="N29" s="8" t="str">
        <f ca="1" t="shared" si="4"/>
        <v> </v>
      </c>
      <c r="O29" s="8" t="str">
        <f t="shared" si="9"/>
        <v> </v>
      </c>
      <c r="P29" s="8"/>
      <c r="Q29" s="2" t="s">
        <v>563</v>
      </c>
      <c r="R29" s="3">
        <v>1000</v>
      </c>
      <c r="S29" s="2" t="s">
        <v>546</v>
      </c>
      <c r="T29" s="2" t="s">
        <v>348</v>
      </c>
      <c r="U29" s="2" t="s">
        <v>564</v>
      </c>
      <c r="V29" s="9">
        <v>20</v>
      </c>
      <c r="W29" s="5">
        <f t="shared" si="6"/>
        <v>0</v>
      </c>
      <c r="X29" s="6">
        <f t="shared" si="7"/>
        <v>0</v>
      </c>
    </row>
    <row r="30" spans="1:24" ht="12">
      <c r="A30" s="2" t="s">
        <v>1093</v>
      </c>
      <c r="B30" s="196" t="s">
        <v>1164</v>
      </c>
      <c r="C30" s="2" t="s">
        <v>1179</v>
      </c>
      <c r="D30" s="2" t="str">
        <f t="shared" si="0"/>
        <v>Lucienne BRANCART </v>
      </c>
      <c r="E30" s="2" t="str">
        <f t="shared" si="1"/>
        <v>BRANCART  Lucienne</v>
      </c>
      <c r="F30" s="9">
        <v>25.5</v>
      </c>
      <c r="G30" s="9" t="s">
        <v>84</v>
      </c>
      <c r="H30" s="214">
        <v>226832</v>
      </c>
      <c r="I30" s="4" t="s">
        <v>883</v>
      </c>
      <c r="J30" s="217" t="s">
        <v>1540</v>
      </c>
      <c r="K30" s="21">
        <v>17037</v>
      </c>
      <c r="L30" s="23">
        <f t="shared" si="2"/>
        <v>70</v>
      </c>
      <c r="M30" s="23">
        <f t="shared" si="3"/>
        <v>95.5</v>
      </c>
      <c r="N30" s="8" t="str">
        <f ca="1" t="shared" si="4"/>
        <v> </v>
      </c>
      <c r="O30" s="8" t="str">
        <f t="shared" si="9"/>
        <v> </v>
      </c>
      <c r="P30" s="8" t="s">
        <v>1540</v>
      </c>
      <c r="Q30" s="2" t="s">
        <v>331</v>
      </c>
      <c r="R30" s="3">
        <v>1440</v>
      </c>
      <c r="S30" s="2" t="s">
        <v>349</v>
      </c>
      <c r="T30" s="2" t="s">
        <v>332</v>
      </c>
      <c r="U30" s="2" t="s">
        <v>333</v>
      </c>
      <c r="V30" s="9">
        <v>25.5</v>
      </c>
      <c r="W30" s="5">
        <f t="shared" si="6"/>
        <v>0</v>
      </c>
      <c r="X30" s="6">
        <f t="shared" si="7"/>
        <v>0</v>
      </c>
    </row>
    <row r="31" spans="1:24" ht="12">
      <c r="A31" s="2" t="s">
        <v>1093</v>
      </c>
      <c r="B31" s="196" t="s">
        <v>1165</v>
      </c>
      <c r="C31" s="2" t="s">
        <v>1180</v>
      </c>
      <c r="D31" s="2" t="str">
        <f t="shared" si="0"/>
        <v>Chantal BRASSEUR </v>
      </c>
      <c r="E31" s="2" t="str">
        <f t="shared" si="1"/>
        <v>BRASSEUR  Chantal</v>
      </c>
      <c r="F31" s="9">
        <v>27</v>
      </c>
      <c r="G31" s="9" t="s">
        <v>84</v>
      </c>
      <c r="H31" s="214">
        <v>258709</v>
      </c>
      <c r="I31" s="4" t="s">
        <v>884</v>
      </c>
      <c r="J31" s="217" t="s">
        <v>1540</v>
      </c>
      <c r="K31" s="21">
        <v>14622</v>
      </c>
      <c r="L31" s="23">
        <f t="shared" si="2"/>
        <v>77</v>
      </c>
      <c r="M31" s="23">
        <f t="shared" si="3"/>
        <v>104</v>
      </c>
      <c r="N31" s="8" t="str">
        <f ca="1" t="shared" si="4"/>
        <v> </v>
      </c>
      <c r="O31" s="8" t="str">
        <f t="shared" si="9"/>
        <v> </v>
      </c>
      <c r="P31" s="8" t="s">
        <v>1540</v>
      </c>
      <c r="Q31" s="2" t="s">
        <v>189</v>
      </c>
      <c r="R31" s="3">
        <v>1410</v>
      </c>
      <c r="S31" s="2" t="s">
        <v>534</v>
      </c>
      <c r="T31" s="2" t="s">
        <v>570</v>
      </c>
      <c r="U31" s="2" t="s">
        <v>527</v>
      </c>
      <c r="V31" s="9">
        <v>27</v>
      </c>
      <c r="W31" s="5">
        <f t="shared" si="6"/>
        <v>0</v>
      </c>
      <c r="X31" s="6">
        <f t="shared" si="7"/>
        <v>0</v>
      </c>
    </row>
    <row r="32" spans="1:24" ht="12">
      <c r="A32" s="2" t="s">
        <v>1093</v>
      </c>
      <c r="B32" s="196" t="s">
        <v>1218</v>
      </c>
      <c r="C32" s="2" t="s">
        <v>1180</v>
      </c>
      <c r="D32" s="2" t="str">
        <f t="shared" si="0"/>
        <v>Jean BRASSEUR </v>
      </c>
      <c r="E32" s="2" t="str">
        <f t="shared" si="1"/>
        <v>BRASSEUR  Jean</v>
      </c>
      <c r="F32" s="9">
        <v>36</v>
      </c>
      <c r="G32" s="9" t="s">
        <v>84</v>
      </c>
      <c r="H32" s="214">
        <v>393578</v>
      </c>
      <c r="I32" s="4" t="s">
        <v>19</v>
      </c>
      <c r="J32" s="217"/>
      <c r="K32" s="21">
        <v>14557</v>
      </c>
      <c r="L32" s="23">
        <f t="shared" si="2"/>
        <v>77</v>
      </c>
      <c r="M32" s="23">
        <f t="shared" si="3"/>
        <v>113</v>
      </c>
      <c r="N32" s="8" t="str">
        <f ca="1" t="shared" si="4"/>
        <v> </v>
      </c>
      <c r="O32" s="8" t="str">
        <f t="shared" si="9"/>
        <v>y</v>
      </c>
      <c r="P32" s="8" t="s">
        <v>1540</v>
      </c>
      <c r="Q32" s="2" t="s">
        <v>189</v>
      </c>
      <c r="R32" s="3">
        <v>1410</v>
      </c>
      <c r="S32" s="2" t="s">
        <v>534</v>
      </c>
      <c r="T32" s="2" t="s">
        <v>570</v>
      </c>
      <c r="U32" s="2" t="s">
        <v>779</v>
      </c>
      <c r="V32" s="9">
        <v>36</v>
      </c>
      <c r="W32" s="5">
        <f t="shared" si="6"/>
        <v>0</v>
      </c>
      <c r="X32" s="6">
        <f t="shared" si="7"/>
        <v>0</v>
      </c>
    </row>
    <row r="33" spans="1:24" ht="12">
      <c r="A33" s="2" t="s">
        <v>1092</v>
      </c>
      <c r="B33" s="196" t="s">
        <v>1166</v>
      </c>
      <c r="C33" s="2" t="s">
        <v>1181</v>
      </c>
      <c r="D33" s="2" t="str">
        <f t="shared" si="0"/>
        <v>Francis BRIES</v>
      </c>
      <c r="E33" s="2" t="str">
        <f t="shared" si="1"/>
        <v>BRIES Francis</v>
      </c>
      <c r="F33" s="9">
        <v>29</v>
      </c>
      <c r="G33" s="9" t="s">
        <v>84</v>
      </c>
      <c r="H33" s="214">
        <v>226840</v>
      </c>
      <c r="I33" s="4" t="s">
        <v>885</v>
      </c>
      <c r="J33" s="217" t="s">
        <v>1540</v>
      </c>
      <c r="K33" s="21">
        <v>19202</v>
      </c>
      <c r="L33" s="23">
        <f t="shared" si="2"/>
        <v>64</v>
      </c>
      <c r="M33" s="23">
        <f t="shared" si="3"/>
        <v>93</v>
      </c>
      <c r="N33" s="8" t="str">
        <f ca="1" t="shared" si="4"/>
        <v> </v>
      </c>
      <c r="O33" s="8" t="str">
        <f t="shared" si="9"/>
        <v> </v>
      </c>
      <c r="P33" s="8" t="s">
        <v>1540</v>
      </c>
      <c r="Q33" s="2" t="s">
        <v>778</v>
      </c>
      <c r="R33" s="3">
        <v>1410</v>
      </c>
      <c r="S33" s="2" t="s">
        <v>534</v>
      </c>
      <c r="T33" s="2"/>
      <c r="U33" s="2" t="s">
        <v>779</v>
      </c>
      <c r="V33" s="9">
        <v>29</v>
      </c>
      <c r="W33" s="5">
        <f t="shared" si="6"/>
        <v>0</v>
      </c>
      <c r="X33" s="6">
        <f t="shared" si="7"/>
        <v>0</v>
      </c>
    </row>
    <row r="34" spans="1:24" ht="12">
      <c r="A34" s="2" t="s">
        <v>1092</v>
      </c>
      <c r="B34" s="196" t="s">
        <v>1168</v>
      </c>
      <c r="C34" s="2" t="s">
        <v>1182</v>
      </c>
      <c r="D34" s="2" t="str">
        <f t="shared" si="0"/>
        <v>Damien CALAS </v>
      </c>
      <c r="E34" s="2" t="str">
        <f t="shared" si="1"/>
        <v>CALAS  Damien</v>
      </c>
      <c r="F34" s="9">
        <v>31.5</v>
      </c>
      <c r="G34" s="9" t="s">
        <v>84</v>
      </c>
      <c r="H34" s="214">
        <v>226846</v>
      </c>
      <c r="I34" s="4" t="s">
        <v>886</v>
      </c>
      <c r="J34" s="217"/>
      <c r="K34" s="21">
        <v>21674</v>
      </c>
      <c r="L34" s="23">
        <f t="shared" si="2"/>
        <v>58</v>
      </c>
      <c r="M34" s="23">
        <f aca="true" t="shared" si="10" ref="M34:M65">L34+F34</f>
        <v>89.5</v>
      </c>
      <c r="N34" s="8" t="str">
        <f ca="1" t="shared" si="4"/>
        <v> </v>
      </c>
      <c r="O34" s="8" t="str">
        <f t="shared" si="9"/>
        <v> </v>
      </c>
      <c r="P34" s="8" t="s">
        <v>1540</v>
      </c>
      <c r="Q34" s="2" t="s">
        <v>498</v>
      </c>
      <c r="R34" s="3">
        <v>1410</v>
      </c>
      <c r="S34" s="2" t="s">
        <v>534</v>
      </c>
      <c r="T34" s="2" t="s">
        <v>499</v>
      </c>
      <c r="U34" s="2" t="s">
        <v>1098</v>
      </c>
      <c r="V34" s="9">
        <v>31.5</v>
      </c>
      <c r="W34" s="5">
        <f t="shared" si="6"/>
        <v>0</v>
      </c>
      <c r="X34" s="6">
        <f t="shared" si="7"/>
        <v>0</v>
      </c>
    </row>
    <row r="35" spans="1:24" ht="12">
      <c r="A35" s="2" t="s">
        <v>1092</v>
      </c>
      <c r="B35" s="196" t="s">
        <v>1167</v>
      </c>
      <c r="C35" s="2" t="s">
        <v>1183</v>
      </c>
      <c r="D35" s="2" t="str">
        <f t="shared" si="0"/>
        <v>Gérard CANNIO </v>
      </c>
      <c r="E35" s="2" t="str">
        <f t="shared" si="1"/>
        <v>CANNIO  Gérard</v>
      </c>
      <c r="F35" s="9">
        <v>14</v>
      </c>
      <c r="G35" s="9" t="s">
        <v>83</v>
      </c>
      <c r="H35" s="214">
        <v>258712</v>
      </c>
      <c r="I35" s="4" t="s">
        <v>887</v>
      </c>
      <c r="J35" s="217"/>
      <c r="K35" s="21">
        <v>14949</v>
      </c>
      <c r="L35" s="23">
        <f t="shared" si="2"/>
        <v>76</v>
      </c>
      <c r="M35" s="23">
        <f t="shared" si="10"/>
        <v>90</v>
      </c>
      <c r="N35" s="8" t="str">
        <f ca="1" t="shared" si="4"/>
        <v> </v>
      </c>
      <c r="O35" s="8" t="str">
        <f t="shared" si="9"/>
        <v> </v>
      </c>
      <c r="P35" s="8" t="s">
        <v>1540</v>
      </c>
      <c r="Q35" s="2" t="s">
        <v>573</v>
      </c>
      <c r="R35" s="3">
        <v>1640</v>
      </c>
      <c r="S35" s="2" t="s">
        <v>345</v>
      </c>
      <c r="T35" s="2" t="s">
        <v>423</v>
      </c>
      <c r="U35" s="2" t="s">
        <v>424</v>
      </c>
      <c r="V35" s="9">
        <v>14</v>
      </c>
      <c r="W35" s="5">
        <f t="shared" si="6"/>
        <v>0</v>
      </c>
      <c r="X35" s="6">
        <f t="shared" si="7"/>
        <v>0</v>
      </c>
    </row>
    <row r="36" spans="1:24" ht="12">
      <c r="A36" s="2" t="s">
        <v>1092</v>
      </c>
      <c r="B36" s="196" t="s">
        <v>1170</v>
      </c>
      <c r="C36" s="2" t="s">
        <v>1184</v>
      </c>
      <c r="D36" s="2" t="str">
        <f t="shared" si="0"/>
        <v>Alain CAREME </v>
      </c>
      <c r="E36" s="2" t="str">
        <f t="shared" si="1"/>
        <v>CAREME  Alain</v>
      </c>
      <c r="F36" s="9">
        <v>21.8</v>
      </c>
      <c r="G36" s="9" t="s">
        <v>84</v>
      </c>
      <c r="H36" s="214">
        <v>226856</v>
      </c>
      <c r="I36" s="4" t="s">
        <v>95</v>
      </c>
      <c r="J36" s="217" t="s">
        <v>1540</v>
      </c>
      <c r="K36" s="21">
        <v>14272</v>
      </c>
      <c r="L36" s="23">
        <f t="shared" si="2"/>
        <v>78</v>
      </c>
      <c r="M36" s="23">
        <f t="shared" si="10"/>
        <v>99.8</v>
      </c>
      <c r="N36" s="8" t="str">
        <f ca="1" t="shared" si="4"/>
        <v> </v>
      </c>
      <c r="O36" s="8" t="str">
        <f t="shared" si="9"/>
        <v> </v>
      </c>
      <c r="P36" s="8" t="s">
        <v>1540</v>
      </c>
      <c r="Q36" s="2" t="s">
        <v>1919</v>
      </c>
      <c r="R36" s="3">
        <v>1410</v>
      </c>
      <c r="S36" s="2" t="s">
        <v>534</v>
      </c>
      <c r="T36" s="2"/>
      <c r="U36" s="2" t="s">
        <v>682</v>
      </c>
      <c r="V36" s="9">
        <v>21.8</v>
      </c>
      <c r="W36" s="5">
        <f t="shared" si="6"/>
        <v>0</v>
      </c>
      <c r="X36" s="6">
        <f t="shared" si="7"/>
        <v>0</v>
      </c>
    </row>
    <row r="37" spans="1:24" ht="12">
      <c r="A37" s="2" t="s">
        <v>1092</v>
      </c>
      <c r="B37" s="196" t="s">
        <v>1171</v>
      </c>
      <c r="C37" s="2" t="s">
        <v>1185</v>
      </c>
      <c r="D37" s="2" t="str">
        <f t="shared" si="0"/>
        <v>Frank CARNIOL </v>
      </c>
      <c r="E37" s="2" t="str">
        <f t="shared" si="1"/>
        <v>CARNIOL  Frank</v>
      </c>
      <c r="F37" s="9">
        <v>17.7</v>
      </c>
      <c r="G37" s="9" t="s">
        <v>84</v>
      </c>
      <c r="H37" s="214">
        <v>226859</v>
      </c>
      <c r="I37" s="4" t="s">
        <v>1914</v>
      </c>
      <c r="J37" s="217" t="s">
        <v>1540</v>
      </c>
      <c r="K37" s="21">
        <v>16497</v>
      </c>
      <c r="L37" s="23">
        <f t="shared" si="2"/>
        <v>72</v>
      </c>
      <c r="M37" s="23">
        <f t="shared" si="10"/>
        <v>89.7</v>
      </c>
      <c r="N37" s="8" t="str">
        <f ca="1" t="shared" si="4"/>
        <v> </v>
      </c>
      <c r="O37" s="8" t="str">
        <f t="shared" si="9"/>
        <v> </v>
      </c>
      <c r="P37" s="8" t="s">
        <v>1540</v>
      </c>
      <c r="Q37" s="2" t="s">
        <v>191</v>
      </c>
      <c r="R37" s="3">
        <v>1180</v>
      </c>
      <c r="S37" s="2" t="s">
        <v>546</v>
      </c>
      <c r="T37" s="2" t="s">
        <v>427</v>
      </c>
      <c r="U37" s="2" t="s">
        <v>428</v>
      </c>
      <c r="V37" s="9">
        <v>17.7</v>
      </c>
      <c r="W37" s="5">
        <f t="shared" si="6"/>
        <v>0</v>
      </c>
      <c r="X37" s="6">
        <f t="shared" si="7"/>
        <v>0</v>
      </c>
    </row>
    <row r="38" spans="1:24" ht="12">
      <c r="A38" s="2" t="s">
        <v>1093</v>
      </c>
      <c r="B38" s="196" t="s">
        <v>1186</v>
      </c>
      <c r="C38" s="2" t="s">
        <v>1202</v>
      </c>
      <c r="D38" s="2" t="str">
        <f t="shared" si="0"/>
        <v>Lyss CARREAU </v>
      </c>
      <c r="E38" s="2" t="str">
        <f t="shared" si="1"/>
        <v>CARREAU  Lyss</v>
      </c>
      <c r="F38" s="9">
        <v>34.5</v>
      </c>
      <c r="G38" s="9" t="s">
        <v>84</v>
      </c>
      <c r="H38" s="214">
        <v>703667</v>
      </c>
      <c r="I38" s="4" t="s">
        <v>888</v>
      </c>
      <c r="J38" s="217" t="s">
        <v>1540</v>
      </c>
      <c r="K38" s="21">
        <v>14839</v>
      </c>
      <c r="L38" s="23">
        <f t="shared" si="2"/>
        <v>76</v>
      </c>
      <c r="M38" s="23">
        <f t="shared" si="10"/>
        <v>110.5</v>
      </c>
      <c r="N38" s="8" t="str">
        <f ca="1" t="shared" si="4"/>
        <v> </v>
      </c>
      <c r="O38" s="8" t="str">
        <f t="shared" si="9"/>
        <v> </v>
      </c>
      <c r="P38" s="8"/>
      <c r="Q38" s="2" t="s">
        <v>469</v>
      </c>
      <c r="R38" s="3">
        <v>1050</v>
      </c>
      <c r="S38" s="2" t="s">
        <v>546</v>
      </c>
      <c r="T38" s="2" t="s">
        <v>470</v>
      </c>
      <c r="U38" s="2" t="s">
        <v>464</v>
      </c>
      <c r="V38" s="9">
        <v>34.5</v>
      </c>
      <c r="W38" s="5">
        <f t="shared" si="6"/>
        <v>0</v>
      </c>
      <c r="X38" s="6">
        <f t="shared" si="7"/>
        <v>0</v>
      </c>
    </row>
    <row r="39" spans="1:24" ht="12">
      <c r="A39" s="2" t="s">
        <v>1093</v>
      </c>
      <c r="B39" s="196" t="s">
        <v>1187</v>
      </c>
      <c r="C39" s="2" t="s">
        <v>1203</v>
      </c>
      <c r="D39" s="2" t="str">
        <f t="shared" si="0"/>
        <v>Nadine CAUSTUR </v>
      </c>
      <c r="E39" s="2" t="str">
        <f t="shared" si="1"/>
        <v>CAUSTUR  Nadine</v>
      </c>
      <c r="F39" s="9">
        <v>11.7</v>
      </c>
      <c r="G39" s="9" t="s">
        <v>84</v>
      </c>
      <c r="H39" s="214">
        <v>226866</v>
      </c>
      <c r="I39" s="4" t="s">
        <v>889</v>
      </c>
      <c r="J39" s="217" t="s">
        <v>1540</v>
      </c>
      <c r="K39" s="21">
        <v>17896</v>
      </c>
      <c r="L39" s="23">
        <f t="shared" si="2"/>
        <v>68</v>
      </c>
      <c r="M39" s="23">
        <f t="shared" si="10"/>
        <v>79.7</v>
      </c>
      <c r="N39" s="8" t="str">
        <f ca="1" t="shared" si="4"/>
        <v> </v>
      </c>
      <c r="O39" s="8" t="str">
        <f t="shared" si="9"/>
        <v> </v>
      </c>
      <c r="P39" s="8" t="s">
        <v>1540</v>
      </c>
      <c r="Q39" s="2" t="s">
        <v>478</v>
      </c>
      <c r="R39" s="3">
        <v>1440</v>
      </c>
      <c r="S39" s="2" t="s">
        <v>349</v>
      </c>
      <c r="T39" s="2" t="s">
        <v>476</v>
      </c>
      <c r="U39" s="2" t="s">
        <v>477</v>
      </c>
      <c r="V39" s="9">
        <v>11.7</v>
      </c>
      <c r="W39" s="5">
        <f t="shared" si="6"/>
        <v>0</v>
      </c>
      <c r="X39" s="6">
        <f t="shared" si="7"/>
        <v>0</v>
      </c>
    </row>
    <row r="40" spans="1:24" ht="12">
      <c r="A40" s="2" t="s">
        <v>1092</v>
      </c>
      <c r="B40" s="196" t="s">
        <v>1188</v>
      </c>
      <c r="C40" s="2" t="s">
        <v>1203</v>
      </c>
      <c r="D40" s="2" t="str">
        <f t="shared" si="0"/>
        <v>Serge CAUSTUR </v>
      </c>
      <c r="E40" s="2" t="str">
        <f t="shared" si="1"/>
        <v>CAUSTUR  Serge</v>
      </c>
      <c r="F40" s="9">
        <v>13.4</v>
      </c>
      <c r="G40" s="9" t="s">
        <v>84</v>
      </c>
      <c r="H40" s="214">
        <v>226865</v>
      </c>
      <c r="I40" s="4" t="s">
        <v>190</v>
      </c>
      <c r="J40" s="217" t="s">
        <v>1540</v>
      </c>
      <c r="K40" s="21">
        <v>16812</v>
      </c>
      <c r="L40" s="23">
        <f t="shared" si="2"/>
        <v>71</v>
      </c>
      <c r="M40" s="23">
        <f t="shared" si="10"/>
        <v>84.4</v>
      </c>
      <c r="N40" s="8" t="str">
        <f ca="1" t="shared" si="4"/>
        <v> </v>
      </c>
      <c r="O40" s="8" t="str">
        <f t="shared" si="9"/>
        <v> </v>
      </c>
      <c r="P40" s="8" t="s">
        <v>1540</v>
      </c>
      <c r="Q40" s="2" t="s">
        <v>478</v>
      </c>
      <c r="R40" s="3">
        <v>1440</v>
      </c>
      <c r="S40" s="2" t="s">
        <v>349</v>
      </c>
      <c r="T40" s="2" t="s">
        <v>476</v>
      </c>
      <c r="U40" s="2"/>
      <c r="V40" s="9">
        <v>13.4</v>
      </c>
      <c r="W40" s="5">
        <f t="shared" si="6"/>
        <v>0</v>
      </c>
      <c r="X40" s="6">
        <f t="shared" si="7"/>
        <v>0</v>
      </c>
    </row>
    <row r="41" spans="1:24" ht="12">
      <c r="A41" s="2" t="s">
        <v>1092</v>
      </c>
      <c r="B41" s="196" t="s">
        <v>1189</v>
      </c>
      <c r="C41" s="2" t="s">
        <v>1204</v>
      </c>
      <c r="D41" s="2" t="str">
        <f t="shared" si="0"/>
        <v>Paul CHARON </v>
      </c>
      <c r="E41" s="2" t="str">
        <f t="shared" si="1"/>
        <v>CHARON  Paul</v>
      </c>
      <c r="F41" s="9">
        <v>26</v>
      </c>
      <c r="G41" s="9" t="s">
        <v>84</v>
      </c>
      <c r="H41" s="214">
        <v>706398</v>
      </c>
      <c r="I41" s="4" t="s">
        <v>890</v>
      </c>
      <c r="J41" s="217"/>
      <c r="K41" s="21">
        <v>13855</v>
      </c>
      <c r="L41" s="23">
        <f t="shared" si="2"/>
        <v>79</v>
      </c>
      <c r="M41" s="23">
        <f t="shared" si="10"/>
        <v>105</v>
      </c>
      <c r="N41" s="8" t="str">
        <f ca="1" t="shared" si="4"/>
        <v> </v>
      </c>
      <c r="O41" s="8" t="str">
        <f t="shared" si="9"/>
        <v> </v>
      </c>
      <c r="P41" s="8" t="s">
        <v>1540</v>
      </c>
      <c r="Q41" s="2" t="s">
        <v>465</v>
      </c>
      <c r="R41" s="3">
        <v>1410</v>
      </c>
      <c r="S41" s="2" t="s">
        <v>534</v>
      </c>
      <c r="T41" s="2" t="s">
        <v>395</v>
      </c>
      <c r="U41" s="2" t="s">
        <v>480</v>
      </c>
      <c r="V41" s="9">
        <v>26</v>
      </c>
      <c r="W41" s="5">
        <f t="shared" si="6"/>
        <v>0</v>
      </c>
      <c r="X41" s="6">
        <f t="shared" si="7"/>
        <v>0</v>
      </c>
    </row>
    <row r="42" spans="1:24" ht="12">
      <c r="A42" s="2" t="s">
        <v>1093</v>
      </c>
      <c r="B42" s="196" t="s">
        <v>1190</v>
      </c>
      <c r="C42" s="2" t="s">
        <v>1205</v>
      </c>
      <c r="D42" s="2" t="str">
        <f t="shared" si="0"/>
        <v>Ariane CHEREQUEFOSSE </v>
      </c>
      <c r="E42" s="2" t="str">
        <f t="shared" si="1"/>
        <v>CHEREQUEFOSSE  Ariane</v>
      </c>
      <c r="F42" s="9">
        <v>18.1</v>
      </c>
      <c r="G42" s="9" t="s">
        <v>84</v>
      </c>
      <c r="H42" s="214">
        <v>227339</v>
      </c>
      <c r="I42" s="4" t="s">
        <v>1923</v>
      </c>
      <c r="J42" s="217"/>
      <c r="K42" s="21">
        <v>21479</v>
      </c>
      <c r="L42" s="23">
        <f t="shared" si="2"/>
        <v>58</v>
      </c>
      <c r="M42" s="23">
        <f t="shared" si="10"/>
        <v>76.1</v>
      </c>
      <c r="N42" s="8" t="str">
        <f ca="1" t="shared" si="4"/>
        <v> </v>
      </c>
      <c r="O42" s="8" t="str">
        <f t="shared" si="9"/>
        <v> </v>
      </c>
      <c r="P42" s="8"/>
      <c r="Q42" s="2" t="s">
        <v>1099</v>
      </c>
      <c r="R42" s="3">
        <v>1420</v>
      </c>
      <c r="S42" s="2" t="s">
        <v>535</v>
      </c>
      <c r="T42" s="2" t="s">
        <v>1100</v>
      </c>
      <c r="U42" s="2" t="s">
        <v>1101</v>
      </c>
      <c r="V42" s="9">
        <v>18.1</v>
      </c>
      <c r="W42" s="5">
        <f t="shared" si="6"/>
        <v>0</v>
      </c>
      <c r="X42" s="6">
        <f t="shared" si="7"/>
        <v>0</v>
      </c>
    </row>
    <row r="43" spans="1:24" ht="12">
      <c r="A43" s="2" t="s">
        <v>1093</v>
      </c>
      <c r="B43" s="196" t="s">
        <v>1191</v>
      </c>
      <c r="C43" s="2" t="s">
        <v>1206</v>
      </c>
      <c r="D43" s="2" t="str">
        <f t="shared" si="0"/>
        <v>Anita CHIMCHIRIAN</v>
      </c>
      <c r="E43" s="2" t="str">
        <f t="shared" si="1"/>
        <v>CHIMCHIRIAN Anita</v>
      </c>
      <c r="F43" s="9">
        <v>22.799999237060547</v>
      </c>
      <c r="G43" s="9" t="s">
        <v>83</v>
      </c>
      <c r="H43" s="214">
        <v>226878</v>
      </c>
      <c r="I43" s="4" t="s">
        <v>891</v>
      </c>
      <c r="J43" s="217" t="s">
        <v>1540</v>
      </c>
      <c r="K43" s="21">
        <v>20621</v>
      </c>
      <c r="L43" s="23">
        <f t="shared" si="2"/>
        <v>61</v>
      </c>
      <c r="M43" s="23">
        <f t="shared" si="10"/>
        <v>83.79999923706055</v>
      </c>
      <c r="N43" s="8" t="str">
        <f ca="1" t="shared" si="4"/>
        <v> </v>
      </c>
      <c r="O43" s="8" t="str">
        <f t="shared" si="9"/>
        <v> </v>
      </c>
      <c r="P43" s="8" t="s">
        <v>1540</v>
      </c>
      <c r="Q43" s="2" t="s">
        <v>324</v>
      </c>
      <c r="R43" s="3">
        <v>1410</v>
      </c>
      <c r="S43" s="2" t="s">
        <v>534</v>
      </c>
      <c r="T43" s="2" t="s">
        <v>325</v>
      </c>
      <c r="U43" s="2" t="s">
        <v>326</v>
      </c>
      <c r="V43" s="9">
        <v>22.799999237060547</v>
      </c>
      <c r="W43" s="5">
        <f t="shared" si="6"/>
        <v>0</v>
      </c>
      <c r="X43" s="6">
        <f t="shared" si="7"/>
        <v>0</v>
      </c>
    </row>
    <row r="44" spans="1:24" ht="12">
      <c r="A44" s="2" t="s">
        <v>1092</v>
      </c>
      <c r="B44" s="196" t="s">
        <v>1192</v>
      </c>
      <c r="C44" s="2" t="s">
        <v>1206</v>
      </c>
      <c r="D44" s="2" t="str">
        <f t="shared" si="0"/>
        <v>Haig Peter CHIMCHIRIAN</v>
      </c>
      <c r="E44" s="2" t="str">
        <f t="shared" si="1"/>
        <v>CHIMCHIRIAN Haig Peter</v>
      </c>
      <c r="F44" s="9">
        <v>18.1</v>
      </c>
      <c r="G44" s="9" t="s">
        <v>84</v>
      </c>
      <c r="H44" s="214">
        <v>226877</v>
      </c>
      <c r="I44" s="4" t="s">
        <v>1</v>
      </c>
      <c r="J44" s="217" t="s">
        <v>1540</v>
      </c>
      <c r="K44" s="21">
        <v>16480</v>
      </c>
      <c r="L44" s="23">
        <f t="shared" si="2"/>
        <v>72</v>
      </c>
      <c r="M44" s="23">
        <f t="shared" si="10"/>
        <v>90.1</v>
      </c>
      <c r="N44" s="8" t="str">
        <f ca="1" t="shared" si="4"/>
        <v> </v>
      </c>
      <c r="O44" s="8" t="str">
        <f t="shared" si="9"/>
        <v> </v>
      </c>
      <c r="P44" s="8" t="s">
        <v>1540</v>
      </c>
      <c r="Q44" s="2" t="s">
        <v>324</v>
      </c>
      <c r="R44" s="3">
        <v>1410</v>
      </c>
      <c r="S44" s="2" t="s">
        <v>534</v>
      </c>
      <c r="T44" s="2" t="s">
        <v>325</v>
      </c>
      <c r="U44" s="2" t="s">
        <v>327</v>
      </c>
      <c r="V44" s="9">
        <v>18.1</v>
      </c>
      <c r="W44" s="5">
        <f t="shared" si="6"/>
        <v>0</v>
      </c>
      <c r="X44" s="6">
        <f t="shared" si="7"/>
        <v>0</v>
      </c>
    </row>
    <row r="45" spans="1:24" ht="12">
      <c r="A45" s="2" t="s">
        <v>1093</v>
      </c>
      <c r="B45" s="196" t="s">
        <v>1348</v>
      </c>
      <c r="C45" s="2" t="s">
        <v>1857</v>
      </c>
      <c r="D45" s="2" t="str">
        <f t="shared" si="0"/>
        <v>Inge CLAES</v>
      </c>
      <c r="E45" s="2" t="str">
        <f t="shared" si="1"/>
        <v>CLAES Inge</v>
      </c>
      <c r="F45" s="9">
        <v>12.7</v>
      </c>
      <c r="G45" s="9" t="s">
        <v>84</v>
      </c>
      <c r="H45" s="214">
        <v>221682</v>
      </c>
      <c r="I45" s="4" t="s">
        <v>1871</v>
      </c>
      <c r="J45" s="217" t="s">
        <v>1540</v>
      </c>
      <c r="K45" s="21">
        <v>22663</v>
      </c>
      <c r="L45" s="23">
        <f t="shared" si="2"/>
        <v>55</v>
      </c>
      <c r="M45" s="23">
        <f t="shared" si="10"/>
        <v>67.7</v>
      </c>
      <c r="N45" s="8" t="str">
        <f ca="1" t="shared" si="4"/>
        <v> </v>
      </c>
      <c r="O45" s="8" t="str">
        <f t="shared" si="9"/>
        <v> </v>
      </c>
      <c r="P45" s="8"/>
      <c r="Q45" s="2" t="s">
        <v>1872</v>
      </c>
      <c r="R45" s="3">
        <v>1180</v>
      </c>
      <c r="S45" s="2" t="s">
        <v>546</v>
      </c>
      <c r="T45" s="2"/>
      <c r="U45" s="2" t="s">
        <v>1867</v>
      </c>
      <c r="V45" s="9">
        <v>12.7</v>
      </c>
      <c r="W45" s="5">
        <f t="shared" si="6"/>
        <v>0</v>
      </c>
      <c r="X45" s="6">
        <f t="shared" si="7"/>
        <v>0</v>
      </c>
    </row>
    <row r="46" spans="1:24" ht="12">
      <c r="A46" s="2" t="s">
        <v>1092</v>
      </c>
      <c r="B46" s="196" t="s">
        <v>1194</v>
      </c>
      <c r="C46" s="2" t="s">
        <v>1207</v>
      </c>
      <c r="D46" s="2" t="str">
        <f t="shared" si="0"/>
        <v>Ernest CLERCKX </v>
      </c>
      <c r="E46" s="2" t="str">
        <f t="shared" si="1"/>
        <v>CLERCKX  Ernest</v>
      </c>
      <c r="F46" s="9">
        <v>34.2</v>
      </c>
      <c r="G46" s="9" t="s">
        <v>84</v>
      </c>
      <c r="H46" s="214">
        <v>226888</v>
      </c>
      <c r="I46" s="4" t="s">
        <v>892</v>
      </c>
      <c r="J46" s="217" t="s">
        <v>1540</v>
      </c>
      <c r="K46" s="21">
        <v>14038</v>
      </c>
      <c r="L46" s="23">
        <f t="shared" si="2"/>
        <v>79</v>
      </c>
      <c r="M46" s="23">
        <f t="shared" si="10"/>
        <v>113.2</v>
      </c>
      <c r="N46" s="8" t="str">
        <f ca="1" t="shared" si="4"/>
        <v> </v>
      </c>
      <c r="O46" s="8" t="str">
        <f t="shared" si="9"/>
        <v> </v>
      </c>
      <c r="P46" s="8" t="s">
        <v>1540</v>
      </c>
      <c r="Q46" s="2" t="s">
        <v>696</v>
      </c>
      <c r="R46" s="3">
        <v>1410</v>
      </c>
      <c r="S46" s="2" t="s">
        <v>534</v>
      </c>
      <c r="T46" s="2" t="s">
        <v>429</v>
      </c>
      <c r="U46" s="2" t="s">
        <v>703</v>
      </c>
      <c r="V46" s="9">
        <v>34.2</v>
      </c>
      <c r="W46" s="5">
        <f t="shared" si="6"/>
        <v>0</v>
      </c>
      <c r="X46" s="6">
        <f t="shared" si="7"/>
        <v>0</v>
      </c>
    </row>
    <row r="47" spans="1:24" ht="12">
      <c r="A47" s="2" t="s">
        <v>1092</v>
      </c>
      <c r="B47" s="196" t="s">
        <v>1195</v>
      </c>
      <c r="C47" s="2" t="s">
        <v>1208</v>
      </c>
      <c r="D47" s="2" t="str">
        <f t="shared" si="0"/>
        <v>Gaston COENE </v>
      </c>
      <c r="E47" s="2" t="str">
        <f t="shared" si="1"/>
        <v>COENE  Gaston</v>
      </c>
      <c r="F47" s="9">
        <v>11.3</v>
      </c>
      <c r="G47" s="9" t="s">
        <v>84</v>
      </c>
      <c r="H47" s="214">
        <v>226890</v>
      </c>
      <c r="I47" s="4" t="s">
        <v>893</v>
      </c>
      <c r="J47" s="217" t="s">
        <v>1540</v>
      </c>
      <c r="K47" s="21">
        <v>20317</v>
      </c>
      <c r="L47" s="23">
        <f t="shared" si="2"/>
        <v>61</v>
      </c>
      <c r="M47" s="23">
        <f t="shared" si="10"/>
        <v>72.3</v>
      </c>
      <c r="N47" s="8" t="str">
        <f ca="1" t="shared" si="4"/>
        <v> </v>
      </c>
      <c r="O47" s="8" t="str">
        <f t="shared" si="9"/>
        <v> </v>
      </c>
      <c r="P47" s="8" t="s">
        <v>1540</v>
      </c>
      <c r="Q47" s="2" t="s">
        <v>694</v>
      </c>
      <c r="R47" s="3">
        <v>1170</v>
      </c>
      <c r="S47" s="2" t="s">
        <v>546</v>
      </c>
      <c r="T47" s="2" t="s">
        <v>692</v>
      </c>
      <c r="U47" s="2" t="s">
        <v>693</v>
      </c>
      <c r="V47" s="9">
        <v>11.3</v>
      </c>
      <c r="W47" s="5">
        <f t="shared" si="6"/>
        <v>0</v>
      </c>
      <c r="X47" s="6">
        <f t="shared" si="7"/>
        <v>0</v>
      </c>
    </row>
    <row r="48" spans="1:24" ht="12">
      <c r="A48" s="2" t="s">
        <v>1092</v>
      </c>
      <c r="B48" s="196" t="s">
        <v>1253</v>
      </c>
      <c r="C48" s="2" t="s">
        <v>14</v>
      </c>
      <c r="D48" s="2" t="str">
        <f t="shared" si="0"/>
        <v>Pierre COLARD</v>
      </c>
      <c r="E48" s="2" t="str">
        <f t="shared" si="1"/>
        <v>COLARD Pierre</v>
      </c>
      <c r="F48" s="9">
        <v>36</v>
      </c>
      <c r="G48" s="9" t="s">
        <v>83</v>
      </c>
      <c r="H48" s="214">
        <v>1000104</v>
      </c>
      <c r="I48" s="4" t="s">
        <v>91</v>
      </c>
      <c r="J48" s="217" t="s">
        <v>1540</v>
      </c>
      <c r="K48" s="21">
        <v>16815</v>
      </c>
      <c r="L48" s="23">
        <f t="shared" si="2"/>
        <v>71</v>
      </c>
      <c r="M48" s="23">
        <f t="shared" si="10"/>
        <v>107</v>
      </c>
      <c r="N48" s="8" t="str">
        <f ca="1" t="shared" si="4"/>
        <v> </v>
      </c>
      <c r="O48" s="8" t="str">
        <f t="shared" si="9"/>
        <v> </v>
      </c>
      <c r="P48" s="8" t="s">
        <v>1540</v>
      </c>
      <c r="Q48" s="2" t="s">
        <v>92</v>
      </c>
      <c r="R48" s="3">
        <v>1420</v>
      </c>
      <c r="S48" s="2" t="s">
        <v>93</v>
      </c>
      <c r="T48" s="2" t="s">
        <v>129</v>
      </c>
      <c r="U48" s="2" t="s">
        <v>94</v>
      </c>
      <c r="V48" s="9">
        <v>36</v>
      </c>
      <c r="W48" s="5">
        <f t="shared" si="6"/>
        <v>0</v>
      </c>
      <c r="X48" s="6">
        <f t="shared" si="7"/>
        <v>0</v>
      </c>
    </row>
    <row r="49" spans="1:24" ht="12">
      <c r="A49" s="2" t="s">
        <v>1092</v>
      </c>
      <c r="B49" s="196" t="s">
        <v>1196</v>
      </c>
      <c r="C49" s="2" t="s">
        <v>1209</v>
      </c>
      <c r="D49" s="2" t="str">
        <f t="shared" si="0"/>
        <v>Guy CONREUR </v>
      </c>
      <c r="E49" s="2" t="str">
        <f t="shared" si="1"/>
        <v>CONREUR  Guy</v>
      </c>
      <c r="F49" s="9">
        <v>22.1</v>
      </c>
      <c r="G49" s="9" t="s">
        <v>83</v>
      </c>
      <c r="H49" s="214">
        <v>226899</v>
      </c>
      <c r="I49" s="4" t="s">
        <v>894</v>
      </c>
      <c r="J49" s="217"/>
      <c r="K49" s="21">
        <v>17223</v>
      </c>
      <c r="L49" s="23">
        <f t="shared" si="2"/>
        <v>70</v>
      </c>
      <c r="M49" s="23">
        <f t="shared" si="10"/>
        <v>92.1</v>
      </c>
      <c r="N49" s="8" t="str">
        <f ca="1" t="shared" si="4"/>
        <v> </v>
      </c>
      <c r="O49" s="8" t="str">
        <f t="shared" si="9"/>
        <v> </v>
      </c>
      <c r="P49" s="8" t="s">
        <v>1540</v>
      </c>
      <c r="Q49" s="2" t="s">
        <v>453</v>
      </c>
      <c r="R49" s="3">
        <v>1410</v>
      </c>
      <c r="S49" s="2" t="s">
        <v>534</v>
      </c>
      <c r="T49" s="2" t="s">
        <v>454</v>
      </c>
      <c r="U49" s="2" t="s">
        <v>172</v>
      </c>
      <c r="V49" s="9">
        <v>22.1</v>
      </c>
      <c r="W49" s="5">
        <f t="shared" si="6"/>
        <v>0</v>
      </c>
      <c r="X49" s="6">
        <f t="shared" si="7"/>
        <v>0</v>
      </c>
    </row>
    <row r="50" spans="1:24" ht="12">
      <c r="A50" s="2" t="s">
        <v>1092</v>
      </c>
      <c r="B50" s="196" t="s">
        <v>1160</v>
      </c>
      <c r="C50" s="2" t="s">
        <v>1210</v>
      </c>
      <c r="D50" s="2" t="str">
        <f t="shared" si="0"/>
        <v>Jacques COPPENS </v>
      </c>
      <c r="E50" s="2" t="str">
        <f t="shared" si="1"/>
        <v>COPPENS  Jacques</v>
      </c>
      <c r="F50" s="9">
        <v>19.5</v>
      </c>
      <c r="G50" s="9" t="s">
        <v>84</v>
      </c>
      <c r="H50" s="214">
        <v>226902</v>
      </c>
      <c r="I50" s="4" t="s">
        <v>1750</v>
      </c>
      <c r="J50" s="217"/>
      <c r="K50" s="21">
        <v>17285</v>
      </c>
      <c r="L50" s="23">
        <f t="shared" si="2"/>
        <v>70</v>
      </c>
      <c r="M50" s="23">
        <f t="shared" si="10"/>
        <v>89.5</v>
      </c>
      <c r="N50" s="8" t="str">
        <f ca="1" t="shared" si="4"/>
        <v> </v>
      </c>
      <c r="O50" s="8" t="str">
        <f t="shared" si="9"/>
        <v> </v>
      </c>
      <c r="P50" s="8" t="s">
        <v>1540</v>
      </c>
      <c r="Q50" s="2" t="s">
        <v>853</v>
      </c>
      <c r="R50" s="3">
        <v>1410</v>
      </c>
      <c r="S50" s="2" t="s">
        <v>534</v>
      </c>
      <c r="T50" s="2" t="s">
        <v>854</v>
      </c>
      <c r="U50" s="2" t="s">
        <v>855</v>
      </c>
      <c r="V50" s="9">
        <v>19.5</v>
      </c>
      <c r="W50" s="5">
        <f t="shared" si="6"/>
        <v>0</v>
      </c>
      <c r="X50" s="6">
        <f t="shared" si="7"/>
        <v>0</v>
      </c>
    </row>
    <row r="51" spans="1:24" ht="12">
      <c r="A51" s="2" t="s">
        <v>1093</v>
      </c>
      <c r="B51" s="196" t="s">
        <v>1300</v>
      </c>
      <c r="C51" s="2" t="s">
        <v>156</v>
      </c>
      <c r="D51" s="2" t="str">
        <f t="shared" si="0"/>
        <v>Mireille COURTENS-GERSDORFF</v>
      </c>
      <c r="E51" s="2" t="str">
        <f t="shared" si="1"/>
        <v>COURTENS-GERSDORFF Mireille</v>
      </c>
      <c r="F51" s="9">
        <v>17.3</v>
      </c>
      <c r="G51" s="9" t="s">
        <v>83</v>
      </c>
      <c r="H51" s="214">
        <v>227179</v>
      </c>
      <c r="I51" s="4" t="s">
        <v>954</v>
      </c>
      <c r="J51" s="217" t="s">
        <v>1540</v>
      </c>
      <c r="K51" s="21">
        <v>18408</v>
      </c>
      <c r="L51" s="23">
        <f t="shared" si="2"/>
        <v>67</v>
      </c>
      <c r="M51" s="23">
        <f t="shared" si="10"/>
        <v>84.3</v>
      </c>
      <c r="N51" s="8" t="str">
        <f ca="1" t="shared" si="4"/>
        <v> </v>
      </c>
      <c r="O51" s="8" t="str">
        <f t="shared" si="9"/>
        <v> </v>
      </c>
      <c r="P51" s="8"/>
      <c r="Q51" s="2" t="s">
        <v>806</v>
      </c>
      <c r="R51" s="3">
        <v>1640</v>
      </c>
      <c r="S51" s="2" t="s">
        <v>345</v>
      </c>
      <c r="T51" s="2" t="s">
        <v>650</v>
      </c>
      <c r="U51" s="2" t="s">
        <v>651</v>
      </c>
      <c r="V51" s="9">
        <v>17.3</v>
      </c>
      <c r="W51" s="5">
        <f t="shared" si="6"/>
        <v>0</v>
      </c>
      <c r="X51" s="6">
        <f t="shared" si="7"/>
        <v>0</v>
      </c>
    </row>
    <row r="52" spans="1:24" ht="12">
      <c r="A52" s="2" t="s">
        <v>1093</v>
      </c>
      <c r="B52" s="196" t="s">
        <v>1198</v>
      </c>
      <c r="C52" s="2" t="s">
        <v>1211</v>
      </c>
      <c r="D52" s="2" t="str">
        <f t="shared" si="0"/>
        <v>Micheline CRAENHALS </v>
      </c>
      <c r="E52" s="2" t="str">
        <f t="shared" si="1"/>
        <v>CRAENHALS  Micheline</v>
      </c>
      <c r="F52" s="9">
        <v>24.8</v>
      </c>
      <c r="G52" s="9" t="s">
        <v>84</v>
      </c>
      <c r="H52" s="214">
        <v>254651</v>
      </c>
      <c r="I52" s="4" t="s">
        <v>896</v>
      </c>
      <c r="J52" s="217" t="s">
        <v>1540</v>
      </c>
      <c r="K52" s="21">
        <v>18193</v>
      </c>
      <c r="L52" s="23">
        <f t="shared" si="2"/>
        <v>67</v>
      </c>
      <c r="M52" s="23">
        <f t="shared" si="10"/>
        <v>91.8</v>
      </c>
      <c r="N52" s="8" t="str">
        <f ca="1" t="shared" si="4"/>
        <v> </v>
      </c>
      <c r="O52" s="8" t="str">
        <f t="shared" si="9"/>
        <v> </v>
      </c>
      <c r="P52" s="8" t="s">
        <v>1540</v>
      </c>
      <c r="Q52" s="2" t="s">
        <v>485</v>
      </c>
      <c r="R52" s="3">
        <v>1780</v>
      </c>
      <c r="S52" s="2" t="s">
        <v>350</v>
      </c>
      <c r="T52" s="2" t="s">
        <v>704</v>
      </c>
      <c r="U52" s="2" t="s">
        <v>705</v>
      </c>
      <c r="V52" s="9">
        <v>24.8</v>
      </c>
      <c r="W52" s="5">
        <f t="shared" si="6"/>
        <v>0</v>
      </c>
      <c r="X52" s="6">
        <f t="shared" si="7"/>
        <v>0</v>
      </c>
    </row>
    <row r="53" spans="1:24" ht="12">
      <c r="A53" s="2" t="s">
        <v>1093</v>
      </c>
      <c r="B53" s="196" t="s">
        <v>1199</v>
      </c>
      <c r="C53" s="2" t="s">
        <v>1212</v>
      </c>
      <c r="D53" s="2" t="str">
        <f t="shared" si="0"/>
        <v>Christiane DAGNELIE </v>
      </c>
      <c r="E53" s="2" t="str">
        <f t="shared" si="1"/>
        <v>DAGNELIE  Christiane</v>
      </c>
      <c r="F53" s="9">
        <v>27.4</v>
      </c>
      <c r="G53" s="9" t="s">
        <v>84</v>
      </c>
      <c r="H53" s="214">
        <v>226926</v>
      </c>
      <c r="I53" s="4" t="s">
        <v>1743</v>
      </c>
      <c r="J53" s="217" t="s">
        <v>1540</v>
      </c>
      <c r="K53" s="21">
        <v>15924</v>
      </c>
      <c r="L53" s="23">
        <f t="shared" si="2"/>
        <v>73</v>
      </c>
      <c r="M53" s="23">
        <f t="shared" si="10"/>
        <v>100.4</v>
      </c>
      <c r="N53" s="8" t="str">
        <f ca="1" t="shared" si="4"/>
        <v> </v>
      </c>
      <c r="O53" s="8" t="str">
        <f t="shared" si="9"/>
        <v> </v>
      </c>
      <c r="P53" s="8" t="s">
        <v>1540</v>
      </c>
      <c r="Q53" s="2" t="s">
        <v>530</v>
      </c>
      <c r="R53" s="3">
        <v>1180</v>
      </c>
      <c r="S53" s="2" t="s">
        <v>546</v>
      </c>
      <c r="T53" s="2" t="s">
        <v>529</v>
      </c>
      <c r="U53" s="2" t="s">
        <v>528</v>
      </c>
      <c r="V53" s="9">
        <v>27.4</v>
      </c>
      <c r="W53" s="5">
        <f t="shared" si="6"/>
        <v>0</v>
      </c>
      <c r="X53" s="6">
        <f t="shared" si="7"/>
        <v>0</v>
      </c>
    </row>
    <row r="54" spans="1:24" ht="12">
      <c r="A54" s="2" t="s">
        <v>1092</v>
      </c>
      <c r="B54" s="196" t="s">
        <v>1160</v>
      </c>
      <c r="C54" s="2" t="s">
        <v>1212</v>
      </c>
      <c r="D54" s="2" t="str">
        <f t="shared" si="0"/>
        <v>Jacques DAGNELIE </v>
      </c>
      <c r="E54" s="2" t="str">
        <f t="shared" si="1"/>
        <v>DAGNELIE  Jacques</v>
      </c>
      <c r="F54" s="9">
        <v>30.7</v>
      </c>
      <c r="G54" s="9" t="s">
        <v>83</v>
      </c>
      <c r="H54" s="214">
        <v>226925</v>
      </c>
      <c r="I54" s="4" t="s">
        <v>1743</v>
      </c>
      <c r="J54" s="217" t="s">
        <v>1540</v>
      </c>
      <c r="K54" s="21">
        <v>14686</v>
      </c>
      <c r="L54" s="23">
        <f t="shared" si="2"/>
        <v>77</v>
      </c>
      <c r="M54" s="23">
        <f t="shared" si="10"/>
        <v>107.7</v>
      </c>
      <c r="N54" s="8" t="str">
        <f ca="1" t="shared" si="4"/>
        <v> </v>
      </c>
      <c r="O54" s="8" t="str">
        <f t="shared" si="9"/>
        <v> </v>
      </c>
      <c r="P54" s="8" t="s">
        <v>1540</v>
      </c>
      <c r="Q54" s="2" t="s">
        <v>530</v>
      </c>
      <c r="R54" s="3">
        <v>1180</v>
      </c>
      <c r="S54" s="2" t="s">
        <v>546</v>
      </c>
      <c r="T54" s="2" t="s">
        <v>529</v>
      </c>
      <c r="U54" s="2"/>
      <c r="V54" s="9">
        <v>30.7</v>
      </c>
      <c r="W54" s="5">
        <f t="shared" si="6"/>
        <v>0</v>
      </c>
      <c r="X54" s="6">
        <f t="shared" si="7"/>
        <v>0</v>
      </c>
    </row>
    <row r="55" spans="1:24" ht="12">
      <c r="A55" s="2" t="s">
        <v>1092</v>
      </c>
      <c r="B55" s="196" t="s">
        <v>1200</v>
      </c>
      <c r="C55" s="2" t="s">
        <v>1213</v>
      </c>
      <c r="D55" s="2" t="str">
        <f t="shared" si="0"/>
        <v>Idès d'ANSTAING </v>
      </c>
      <c r="E55" s="2" t="str">
        <f t="shared" si="1"/>
        <v>d'ANSTAING  Idès</v>
      </c>
      <c r="F55" s="9">
        <v>26.700000762939453</v>
      </c>
      <c r="G55" s="9" t="s">
        <v>83</v>
      </c>
      <c r="H55" s="214">
        <v>226922</v>
      </c>
      <c r="I55" s="4" t="s">
        <v>897</v>
      </c>
      <c r="J55" s="217" t="s">
        <v>1540</v>
      </c>
      <c r="K55" s="21">
        <v>12490</v>
      </c>
      <c r="L55" s="23">
        <f t="shared" si="2"/>
        <v>83</v>
      </c>
      <c r="M55" s="23">
        <f t="shared" si="10"/>
        <v>109.70000076293945</v>
      </c>
      <c r="N55" s="8" t="str">
        <f ca="1" t="shared" si="4"/>
        <v> </v>
      </c>
      <c r="O55" s="8" t="str">
        <f t="shared" si="9"/>
        <v> </v>
      </c>
      <c r="P55" s="8" t="s">
        <v>1540</v>
      </c>
      <c r="Q55" s="2" t="s">
        <v>706</v>
      </c>
      <c r="R55" s="3">
        <v>1640</v>
      </c>
      <c r="S55" s="2" t="s">
        <v>345</v>
      </c>
      <c r="T55" s="2" t="s">
        <v>707</v>
      </c>
      <c r="U55" s="2"/>
      <c r="V55" s="9">
        <v>26.700000762939453</v>
      </c>
      <c r="W55" s="5">
        <f t="shared" si="6"/>
        <v>0</v>
      </c>
      <c r="X55" s="6">
        <f t="shared" si="7"/>
        <v>0</v>
      </c>
    </row>
    <row r="56" spans="1:24" ht="12">
      <c r="A56" s="2" t="s">
        <v>1093</v>
      </c>
      <c r="B56" s="196" t="s">
        <v>1169</v>
      </c>
      <c r="C56" s="2" t="s">
        <v>153</v>
      </c>
      <c r="D56" s="2" t="str">
        <f t="shared" si="0"/>
        <v>Martine DAS-VOLDERS</v>
      </c>
      <c r="E56" s="2" t="str">
        <f t="shared" si="1"/>
        <v>DAS-VOLDERS Martine</v>
      </c>
      <c r="F56" s="9">
        <v>20.6</v>
      </c>
      <c r="G56" s="9" t="s">
        <v>84</v>
      </c>
      <c r="H56" s="214">
        <v>227941</v>
      </c>
      <c r="I56" s="4" t="s">
        <v>1078</v>
      </c>
      <c r="J56" s="217" t="s">
        <v>1540</v>
      </c>
      <c r="K56" s="21">
        <v>19394</v>
      </c>
      <c r="L56" s="23">
        <f t="shared" si="2"/>
        <v>64</v>
      </c>
      <c r="M56" s="23">
        <f t="shared" si="10"/>
        <v>84.6</v>
      </c>
      <c r="N56" s="8" t="str">
        <f ca="1" t="shared" si="4"/>
        <v> </v>
      </c>
      <c r="O56" s="8" t="str">
        <f t="shared" si="9"/>
        <v> </v>
      </c>
      <c r="P56" s="8" t="s">
        <v>1540</v>
      </c>
      <c r="Q56" s="2" t="s">
        <v>296</v>
      </c>
      <c r="R56" s="3">
        <v>1640</v>
      </c>
      <c r="S56" s="2" t="s">
        <v>345</v>
      </c>
      <c r="T56" s="2" t="s">
        <v>366</v>
      </c>
      <c r="U56" s="2" t="s">
        <v>1742</v>
      </c>
      <c r="V56" s="9">
        <v>20.6</v>
      </c>
      <c r="W56" s="5">
        <f t="shared" si="6"/>
        <v>0</v>
      </c>
      <c r="X56" s="6">
        <f t="shared" si="7"/>
        <v>0</v>
      </c>
    </row>
    <row r="57" spans="1:24" ht="12">
      <c r="A57" s="2" t="s">
        <v>1093</v>
      </c>
      <c r="B57" s="196" t="s">
        <v>1215</v>
      </c>
      <c r="C57" s="2" t="s">
        <v>1214</v>
      </c>
      <c r="D57" s="2" t="str">
        <f t="shared" si="0"/>
        <v>Régine DAUWE </v>
      </c>
      <c r="E57" s="2" t="str">
        <f t="shared" si="1"/>
        <v>DAUWE  Régine</v>
      </c>
      <c r="F57" s="9">
        <v>9.7</v>
      </c>
      <c r="G57" s="9" t="s">
        <v>84</v>
      </c>
      <c r="H57" s="214">
        <v>226931</v>
      </c>
      <c r="I57" s="4" t="s">
        <v>898</v>
      </c>
      <c r="J57" s="217"/>
      <c r="K57" s="21">
        <v>17538</v>
      </c>
      <c r="L57" s="23">
        <f t="shared" si="2"/>
        <v>69</v>
      </c>
      <c r="M57" s="23">
        <f t="shared" si="10"/>
        <v>78.7</v>
      </c>
      <c r="N57" s="8" t="str">
        <f ca="1" t="shared" si="4"/>
        <v> </v>
      </c>
      <c r="O57" s="8" t="str">
        <f t="shared" si="9"/>
        <v> </v>
      </c>
      <c r="P57" s="8" t="s">
        <v>1540</v>
      </c>
      <c r="Q57" s="2" t="s">
        <v>463</v>
      </c>
      <c r="R57" s="3">
        <v>1420</v>
      </c>
      <c r="S57" s="2" t="s">
        <v>535</v>
      </c>
      <c r="T57" s="2" t="s">
        <v>460</v>
      </c>
      <c r="U57" s="2" t="s">
        <v>461</v>
      </c>
      <c r="V57" s="9">
        <v>9.7</v>
      </c>
      <c r="W57" s="5">
        <f t="shared" si="6"/>
        <v>0</v>
      </c>
      <c r="X57" s="6">
        <f t="shared" si="7"/>
        <v>0</v>
      </c>
    </row>
    <row r="58" spans="1:24" ht="12">
      <c r="A58" s="2" t="s">
        <v>1093</v>
      </c>
      <c r="B58" s="196" t="s">
        <v>1216</v>
      </c>
      <c r="C58" s="2" t="s">
        <v>1235</v>
      </c>
      <c r="D58" s="2" t="str">
        <f t="shared" si="0"/>
        <v>Elyane de BASSOMPIERRE </v>
      </c>
      <c r="E58" s="2" t="str">
        <f t="shared" si="1"/>
        <v>de BASSOMPIERRE  Elyane</v>
      </c>
      <c r="F58" s="9">
        <v>23.6</v>
      </c>
      <c r="G58" s="9" t="s">
        <v>84</v>
      </c>
      <c r="H58" s="214">
        <v>226939</v>
      </c>
      <c r="I58" s="4" t="s">
        <v>899</v>
      </c>
      <c r="J58" s="217" t="s">
        <v>1540</v>
      </c>
      <c r="K58" s="21">
        <v>14697</v>
      </c>
      <c r="L58" s="23">
        <f t="shared" si="2"/>
        <v>77</v>
      </c>
      <c r="M58" s="23">
        <f t="shared" si="10"/>
        <v>100.6</v>
      </c>
      <c r="N58" s="8" t="str">
        <f ca="1" t="shared" si="4"/>
        <v> </v>
      </c>
      <c r="O58" s="8" t="str">
        <f t="shared" si="9"/>
        <v> </v>
      </c>
      <c r="P58" s="8" t="s">
        <v>1540</v>
      </c>
      <c r="Q58" s="2" t="s">
        <v>7</v>
      </c>
      <c r="R58" s="3">
        <v>1380</v>
      </c>
      <c r="S58" s="2" t="s">
        <v>351</v>
      </c>
      <c r="T58" s="2" t="s">
        <v>708</v>
      </c>
      <c r="U58" s="2" t="s">
        <v>690</v>
      </c>
      <c r="V58" s="9">
        <v>23.6</v>
      </c>
      <c r="W58" s="5">
        <f t="shared" si="6"/>
        <v>0</v>
      </c>
      <c r="X58" s="6">
        <f t="shared" si="7"/>
        <v>0</v>
      </c>
    </row>
    <row r="59" spans="1:24" ht="12">
      <c r="A59" s="2" t="s">
        <v>1092</v>
      </c>
      <c r="B59" s="196" t="s">
        <v>1217</v>
      </c>
      <c r="C59" s="2" t="s">
        <v>1235</v>
      </c>
      <c r="D59" s="2" t="str">
        <f t="shared" si="0"/>
        <v>Jean-Jacques de BASSOMPIERRE </v>
      </c>
      <c r="E59" s="2" t="str">
        <f t="shared" si="1"/>
        <v>de BASSOMPIERRE  Jean-Jacques</v>
      </c>
      <c r="F59" s="9">
        <v>28</v>
      </c>
      <c r="G59" s="9" t="s">
        <v>83</v>
      </c>
      <c r="H59" s="214">
        <v>226938</v>
      </c>
      <c r="I59" s="4" t="s">
        <v>900</v>
      </c>
      <c r="J59" s="217" t="s">
        <v>1540</v>
      </c>
      <c r="K59" s="21">
        <v>13605</v>
      </c>
      <c r="L59" s="23">
        <f t="shared" si="2"/>
        <v>80</v>
      </c>
      <c r="M59" s="23">
        <f t="shared" si="10"/>
        <v>108</v>
      </c>
      <c r="N59" s="8" t="str">
        <f ca="1" t="shared" si="4"/>
        <v> </v>
      </c>
      <c r="O59" s="8" t="str">
        <f t="shared" si="9"/>
        <v> </v>
      </c>
      <c r="P59" s="8" t="s">
        <v>1540</v>
      </c>
      <c r="Q59" s="2" t="s">
        <v>7</v>
      </c>
      <c r="R59" s="3">
        <v>1380</v>
      </c>
      <c r="S59" s="2" t="s">
        <v>351</v>
      </c>
      <c r="T59" s="2" t="s">
        <v>708</v>
      </c>
      <c r="U59" s="2"/>
      <c r="V59" s="9">
        <v>28</v>
      </c>
      <c r="W59" s="5">
        <f t="shared" si="6"/>
        <v>0</v>
      </c>
      <c r="X59" s="6">
        <f t="shared" si="7"/>
        <v>0</v>
      </c>
    </row>
    <row r="60" spans="1:24" ht="12">
      <c r="A60" s="2" t="s">
        <v>1092</v>
      </c>
      <c r="B60" s="196" t="s">
        <v>1218</v>
      </c>
      <c r="C60" s="2" t="s">
        <v>1236</v>
      </c>
      <c r="D60" s="2" t="str">
        <f t="shared" si="0"/>
        <v>Jean de BECO </v>
      </c>
      <c r="E60" s="2" t="str">
        <f t="shared" si="1"/>
        <v>de BECO  Jean</v>
      </c>
      <c r="F60" s="9">
        <v>28.1</v>
      </c>
      <c r="G60" s="9" t="s">
        <v>84</v>
      </c>
      <c r="H60" s="214">
        <v>706410</v>
      </c>
      <c r="I60" s="4" t="s">
        <v>901</v>
      </c>
      <c r="J60" s="217" t="s">
        <v>1540</v>
      </c>
      <c r="K60" s="21">
        <v>12969</v>
      </c>
      <c r="L60" s="23">
        <f t="shared" si="2"/>
        <v>81</v>
      </c>
      <c r="M60" s="23">
        <f t="shared" si="10"/>
        <v>109.1</v>
      </c>
      <c r="N60" s="8" t="str">
        <f ca="1" t="shared" si="4"/>
        <v> </v>
      </c>
      <c r="O60" s="8" t="str">
        <f t="shared" si="9"/>
        <v> </v>
      </c>
      <c r="P60" s="8" t="s">
        <v>1540</v>
      </c>
      <c r="Q60" s="2" t="s">
        <v>709</v>
      </c>
      <c r="R60" s="3">
        <v>1410</v>
      </c>
      <c r="S60" s="2" t="s">
        <v>534</v>
      </c>
      <c r="T60" s="2" t="s">
        <v>710</v>
      </c>
      <c r="U60" s="2" t="s">
        <v>711</v>
      </c>
      <c r="V60" s="9">
        <v>28.1</v>
      </c>
      <c r="W60" s="5">
        <f t="shared" si="6"/>
        <v>0</v>
      </c>
      <c r="X60" s="6">
        <f t="shared" si="7"/>
        <v>0</v>
      </c>
    </row>
    <row r="61" spans="1:24" ht="12">
      <c r="A61" s="2" t="s">
        <v>1093</v>
      </c>
      <c r="B61" s="196" t="s">
        <v>1219</v>
      </c>
      <c r="C61" s="2" t="s">
        <v>1237</v>
      </c>
      <c r="D61" s="2" t="str">
        <f t="shared" si="0"/>
        <v>Isabelle DE BEIR</v>
      </c>
      <c r="E61" s="2" t="str">
        <f t="shared" si="1"/>
        <v>DE BEIR Isabelle</v>
      </c>
      <c r="F61" s="9">
        <v>36</v>
      </c>
      <c r="G61" s="9" t="s">
        <v>84</v>
      </c>
      <c r="H61" s="214">
        <v>170211</v>
      </c>
      <c r="I61" s="4" t="s">
        <v>1133</v>
      </c>
      <c r="J61" s="217"/>
      <c r="K61" s="21">
        <v>17662</v>
      </c>
      <c r="L61" s="23">
        <f t="shared" si="2"/>
        <v>69</v>
      </c>
      <c r="M61" s="23">
        <f t="shared" si="10"/>
        <v>105</v>
      </c>
      <c r="N61" s="8" t="str">
        <f ca="1" t="shared" si="4"/>
        <v> </v>
      </c>
      <c r="O61" s="8" t="str">
        <f t="shared" si="9"/>
        <v> </v>
      </c>
      <c r="P61" s="8"/>
      <c r="Q61" s="2" t="s">
        <v>1102</v>
      </c>
      <c r="R61" s="3">
        <v>1180</v>
      </c>
      <c r="S61" s="2" t="s">
        <v>546</v>
      </c>
      <c r="T61" s="2" t="s">
        <v>1103</v>
      </c>
      <c r="U61" s="2" t="s">
        <v>1104</v>
      </c>
      <c r="V61" s="9">
        <v>36</v>
      </c>
      <c r="W61" s="5">
        <f t="shared" si="6"/>
        <v>0</v>
      </c>
      <c r="X61" s="6">
        <f t="shared" si="7"/>
        <v>0</v>
      </c>
    </row>
    <row r="62" spans="1:24" ht="12">
      <c r="A62" s="2" t="s">
        <v>1093</v>
      </c>
      <c r="B62" s="196" t="s">
        <v>1220</v>
      </c>
      <c r="C62" s="2" t="s">
        <v>1238</v>
      </c>
      <c r="D62" s="2" t="str">
        <f t="shared" si="0"/>
        <v>Maggy DE CLERCQ</v>
      </c>
      <c r="E62" s="2" t="str">
        <f t="shared" si="1"/>
        <v>DE CLERCQ Maggy</v>
      </c>
      <c r="F62" s="9">
        <v>30.899999618530273</v>
      </c>
      <c r="G62" s="9" t="s">
        <v>83</v>
      </c>
      <c r="H62" s="214">
        <v>226947</v>
      </c>
      <c r="I62" s="4" t="s">
        <v>902</v>
      </c>
      <c r="J62" s="217" t="s">
        <v>1540</v>
      </c>
      <c r="K62" s="21">
        <v>12942</v>
      </c>
      <c r="L62" s="23">
        <f t="shared" si="2"/>
        <v>82</v>
      </c>
      <c r="M62" s="23">
        <f t="shared" si="10"/>
        <v>112.89999961853027</v>
      </c>
      <c r="N62" s="8" t="str">
        <f ca="1" t="shared" si="4"/>
        <v> </v>
      </c>
      <c r="O62" s="8" t="str">
        <f t="shared" si="9"/>
        <v> </v>
      </c>
      <c r="P62" s="8" t="s">
        <v>1540</v>
      </c>
      <c r="Q62" s="2" t="s">
        <v>432</v>
      </c>
      <c r="R62" s="3">
        <v>1640</v>
      </c>
      <c r="S62" s="2" t="s">
        <v>345</v>
      </c>
      <c r="T62" s="2" t="s">
        <v>433</v>
      </c>
      <c r="U62" s="2"/>
      <c r="V62" s="9">
        <v>30.899999618530273</v>
      </c>
      <c r="W62" s="5">
        <f t="shared" si="6"/>
        <v>0</v>
      </c>
      <c r="X62" s="6">
        <f t="shared" si="7"/>
        <v>0</v>
      </c>
    </row>
    <row r="63" spans="1:24" ht="12">
      <c r="A63" s="2" t="s">
        <v>1092</v>
      </c>
      <c r="B63" s="196" t="s">
        <v>1221</v>
      </c>
      <c r="C63" s="2" t="s">
        <v>1238</v>
      </c>
      <c r="D63" s="2" t="str">
        <f t="shared" si="0"/>
        <v>Robert DE CLERCQ</v>
      </c>
      <c r="E63" s="2" t="str">
        <f t="shared" si="1"/>
        <v>DE CLERCQ Robert</v>
      </c>
      <c r="F63" s="9">
        <v>26.2</v>
      </c>
      <c r="G63" s="9" t="s">
        <v>84</v>
      </c>
      <c r="H63" s="214">
        <v>226946</v>
      </c>
      <c r="I63" s="4" t="s">
        <v>902</v>
      </c>
      <c r="J63" s="217" t="s">
        <v>1540</v>
      </c>
      <c r="K63" s="21">
        <v>12577</v>
      </c>
      <c r="L63" s="23">
        <f t="shared" si="2"/>
        <v>83</v>
      </c>
      <c r="M63" s="23">
        <f t="shared" si="10"/>
        <v>109.2</v>
      </c>
      <c r="N63" s="8" t="str">
        <f ca="1" t="shared" si="4"/>
        <v> </v>
      </c>
      <c r="O63" s="8" t="str">
        <f t="shared" si="9"/>
        <v> </v>
      </c>
      <c r="P63" s="8" t="s">
        <v>1540</v>
      </c>
      <c r="Q63" s="2" t="s">
        <v>432</v>
      </c>
      <c r="R63" s="3">
        <v>1640</v>
      </c>
      <c r="S63" s="2" t="s">
        <v>345</v>
      </c>
      <c r="T63" s="2" t="s">
        <v>433</v>
      </c>
      <c r="U63" s="2" t="s">
        <v>683</v>
      </c>
      <c r="V63" s="9">
        <v>26.2</v>
      </c>
      <c r="W63" s="5">
        <f t="shared" si="6"/>
        <v>0</v>
      </c>
      <c r="X63" s="6">
        <f t="shared" si="7"/>
        <v>0</v>
      </c>
    </row>
    <row r="64" spans="1:24" ht="12">
      <c r="A64" s="2" t="s">
        <v>1093</v>
      </c>
      <c r="B64" s="196" t="s">
        <v>1222</v>
      </c>
      <c r="C64" s="2" t="s">
        <v>1239</v>
      </c>
      <c r="D64" s="2" t="str">
        <f t="shared" si="0"/>
        <v>Anne de COOMAN</v>
      </c>
      <c r="E64" s="2" t="str">
        <f t="shared" si="1"/>
        <v>de COOMAN Anne</v>
      </c>
      <c r="F64" s="9">
        <v>21.6</v>
      </c>
      <c r="G64" s="9" t="s">
        <v>84</v>
      </c>
      <c r="H64" s="214">
        <v>708924</v>
      </c>
      <c r="I64" s="4" t="s">
        <v>903</v>
      </c>
      <c r="J64" s="217" t="s">
        <v>1540</v>
      </c>
      <c r="K64" s="21">
        <v>20729</v>
      </c>
      <c r="L64" s="23">
        <f t="shared" si="2"/>
        <v>60</v>
      </c>
      <c r="M64" s="23">
        <f t="shared" si="10"/>
        <v>81.6</v>
      </c>
      <c r="N64" s="8" t="str">
        <f ca="1" t="shared" si="4"/>
        <v> </v>
      </c>
      <c r="O64" s="8" t="str">
        <f t="shared" si="9"/>
        <v> </v>
      </c>
      <c r="P64" s="8" t="s">
        <v>1540</v>
      </c>
      <c r="Q64" s="2" t="s">
        <v>665</v>
      </c>
      <c r="R64" s="3">
        <v>1640</v>
      </c>
      <c r="S64" s="2" t="s">
        <v>345</v>
      </c>
      <c r="T64" s="2" t="s">
        <v>666</v>
      </c>
      <c r="U64" s="2" t="s">
        <v>667</v>
      </c>
      <c r="V64" s="9">
        <v>21.6</v>
      </c>
      <c r="W64" s="5">
        <f t="shared" si="6"/>
        <v>0</v>
      </c>
      <c r="X64" s="6">
        <f t="shared" si="7"/>
        <v>0</v>
      </c>
    </row>
    <row r="65" spans="1:24" ht="12">
      <c r="A65" s="2" t="s">
        <v>1092</v>
      </c>
      <c r="B65" s="196" t="s">
        <v>1756</v>
      </c>
      <c r="C65" s="2" t="s">
        <v>44</v>
      </c>
      <c r="D65" s="2" t="str">
        <f t="shared" si="0"/>
        <v>Bruno de COUËT</v>
      </c>
      <c r="E65" s="2" t="str">
        <f t="shared" si="1"/>
        <v>de COUËT Bruno</v>
      </c>
      <c r="F65" s="9">
        <v>28</v>
      </c>
      <c r="G65" s="9" t="s">
        <v>84</v>
      </c>
      <c r="H65" s="214">
        <v>706778</v>
      </c>
      <c r="I65" s="4" t="s">
        <v>45</v>
      </c>
      <c r="J65" s="217"/>
      <c r="K65" s="21">
        <v>19316</v>
      </c>
      <c r="L65" s="23">
        <f t="shared" si="2"/>
        <v>64</v>
      </c>
      <c r="M65" s="23">
        <f t="shared" si="10"/>
        <v>92</v>
      </c>
      <c r="N65" s="8" t="str">
        <f ca="1" t="shared" si="4"/>
        <v> </v>
      </c>
      <c r="O65" s="8" t="str">
        <f t="shared" si="9"/>
        <v> </v>
      </c>
      <c r="P65" s="8"/>
      <c r="Q65" s="2" t="s">
        <v>46</v>
      </c>
      <c r="R65" s="3">
        <v>1050</v>
      </c>
      <c r="S65" s="2" t="s">
        <v>546</v>
      </c>
      <c r="T65" s="2"/>
      <c r="U65" s="2" t="s">
        <v>47</v>
      </c>
      <c r="V65" s="9">
        <v>28</v>
      </c>
      <c r="W65" s="5">
        <f t="shared" si="6"/>
        <v>0</v>
      </c>
      <c r="X65" s="6">
        <f t="shared" si="7"/>
        <v>0</v>
      </c>
    </row>
    <row r="66" spans="1:24" ht="12">
      <c r="A66" s="2" t="s">
        <v>1092</v>
      </c>
      <c r="B66" s="196" t="s">
        <v>1223</v>
      </c>
      <c r="C66" s="2" t="s">
        <v>1240</v>
      </c>
      <c r="D66" s="2" t="str">
        <f aca="true" t="shared" si="11" ref="D66:D128">B66&amp;" "&amp;C66</f>
        <v>Thierry DE DECKER</v>
      </c>
      <c r="E66" s="2" t="str">
        <f aca="true" t="shared" si="12" ref="E66:E128">C66&amp;" "&amp;B66</f>
        <v>DE DECKER Thierry</v>
      </c>
      <c r="F66" s="9">
        <v>31.4</v>
      </c>
      <c r="G66" s="9" t="s">
        <v>84</v>
      </c>
      <c r="H66" s="214">
        <v>705277</v>
      </c>
      <c r="I66" s="4" t="s">
        <v>904</v>
      </c>
      <c r="J66" s="217" t="s">
        <v>1540</v>
      </c>
      <c r="K66" s="21">
        <v>15264</v>
      </c>
      <c r="L66" s="23">
        <f aca="true" t="shared" si="13" ref="L66:L128">YEAR(jourdhui)-YEAR(K66)-IF(MONTH(K66)&gt;MONTH(jourdhui),1,0)-(IF(MONTH(K66)=MONTH(jourdhui),1,0)*IF(DAY(K66)&gt;DAY(jourdhui),1,0))</f>
        <v>75</v>
      </c>
      <c r="M66" s="23">
        <f aca="true" t="shared" si="14" ref="M66:M97">L66+F66</f>
        <v>106.4</v>
      </c>
      <c r="N66" s="8" t="str">
        <f aca="true" ca="1" t="shared" si="15" ref="N66:N128">IF((IF(DAY(K66)=DAY(TODAY()),1,0)+IF(MONTH(K66)=MONTH(TODAY()),1,0))=2,"y"," ")</f>
        <v> </v>
      </c>
      <c r="O66" s="8" t="str">
        <f t="shared" si="9"/>
        <v> </v>
      </c>
      <c r="P66" s="8" t="s">
        <v>1540</v>
      </c>
      <c r="Q66" s="2" t="s">
        <v>485</v>
      </c>
      <c r="R66" s="3">
        <v>1780</v>
      </c>
      <c r="S66" s="2" t="s">
        <v>350</v>
      </c>
      <c r="T66" s="2" t="s">
        <v>704</v>
      </c>
      <c r="U66" s="2" t="s">
        <v>486</v>
      </c>
      <c r="V66" s="9">
        <v>31.4</v>
      </c>
      <c r="W66" s="5">
        <f aca="true" t="shared" si="16" ref="W66:W128">F66-V66</f>
        <v>0</v>
      </c>
      <c r="X66" s="6">
        <f aca="true" t="shared" si="17" ref="X66:X128">(V66-F66)/V66</f>
        <v>0</v>
      </c>
    </row>
    <row r="67" spans="1:24" ht="12">
      <c r="A67" s="2" t="s">
        <v>1092</v>
      </c>
      <c r="B67" s="196" t="s">
        <v>1224</v>
      </c>
      <c r="C67" s="2" t="s">
        <v>1241</v>
      </c>
      <c r="D67" s="2" t="str">
        <f t="shared" si="11"/>
        <v>Jean Pierre de FAILLY </v>
      </c>
      <c r="E67" s="2" t="str">
        <f t="shared" si="12"/>
        <v>de FAILLY  Jean Pierre</v>
      </c>
      <c r="F67" s="9">
        <v>23</v>
      </c>
      <c r="G67" s="9" t="s">
        <v>84</v>
      </c>
      <c r="H67" s="214">
        <v>700186</v>
      </c>
      <c r="I67" s="4" t="s">
        <v>1139</v>
      </c>
      <c r="J67" s="217" t="s">
        <v>1540</v>
      </c>
      <c r="K67" s="21">
        <v>17286</v>
      </c>
      <c r="L67" s="23">
        <f t="shared" si="13"/>
        <v>70</v>
      </c>
      <c r="M67" s="23">
        <f t="shared" si="14"/>
        <v>93</v>
      </c>
      <c r="N67" s="8" t="str">
        <f ca="1" t="shared" si="15"/>
        <v> </v>
      </c>
      <c r="O67" s="8" t="str">
        <f t="shared" si="9"/>
        <v> </v>
      </c>
      <c r="P67" s="8" t="s">
        <v>1540</v>
      </c>
      <c r="Q67" s="2" t="s">
        <v>1105</v>
      </c>
      <c r="R67" s="3">
        <v>1050</v>
      </c>
      <c r="S67" s="2" t="s">
        <v>546</v>
      </c>
      <c r="T67" s="2" t="s">
        <v>1106</v>
      </c>
      <c r="U67" s="2" t="s">
        <v>1107</v>
      </c>
      <c r="V67" s="9">
        <v>23</v>
      </c>
      <c r="W67" s="5">
        <f t="shared" si="16"/>
        <v>0</v>
      </c>
      <c r="X67" s="6">
        <f t="shared" si="17"/>
        <v>0</v>
      </c>
    </row>
    <row r="68" spans="1:25" s="211" customFormat="1" ht="12">
      <c r="A68" s="2" t="s">
        <v>1092</v>
      </c>
      <c r="B68" s="196" t="s">
        <v>1225</v>
      </c>
      <c r="C68" s="2" t="s">
        <v>1242</v>
      </c>
      <c r="D68" s="2" t="str">
        <f t="shared" si="11"/>
        <v>Arnaud de GALARD de BEARN</v>
      </c>
      <c r="E68" s="2" t="str">
        <f t="shared" si="12"/>
        <v>de GALARD de BEARN Arnaud</v>
      </c>
      <c r="F68" s="9">
        <v>13.5</v>
      </c>
      <c r="G68" s="9" t="s">
        <v>84</v>
      </c>
      <c r="H68" s="214">
        <v>226965</v>
      </c>
      <c r="I68" s="4" t="s">
        <v>905</v>
      </c>
      <c r="J68" s="217" t="s">
        <v>1540</v>
      </c>
      <c r="K68" s="21">
        <v>18007</v>
      </c>
      <c r="L68" s="23">
        <f t="shared" si="13"/>
        <v>68</v>
      </c>
      <c r="M68" s="23">
        <f t="shared" si="14"/>
        <v>81.5</v>
      </c>
      <c r="N68" s="8" t="str">
        <f ca="1" t="shared" si="15"/>
        <v> </v>
      </c>
      <c r="O68" s="8" t="str">
        <f t="shared" si="9"/>
        <v> </v>
      </c>
      <c r="P68" s="8"/>
      <c r="Q68" s="2" t="s">
        <v>484</v>
      </c>
      <c r="R68" s="3">
        <v>1050</v>
      </c>
      <c r="S68" s="2" t="s">
        <v>546</v>
      </c>
      <c r="T68" s="2"/>
      <c r="U68" s="2" t="s">
        <v>434</v>
      </c>
      <c r="V68" s="9">
        <v>13.5</v>
      </c>
      <c r="W68" s="5">
        <f t="shared" si="16"/>
        <v>0</v>
      </c>
      <c r="X68" s="6">
        <f t="shared" si="17"/>
        <v>0</v>
      </c>
      <c r="Y68" s="194"/>
    </row>
    <row r="69" spans="1:24" ht="12">
      <c r="A69" s="2" t="s">
        <v>1092</v>
      </c>
      <c r="B69" s="196" t="s">
        <v>1255</v>
      </c>
      <c r="C69" s="2" t="s">
        <v>1243</v>
      </c>
      <c r="D69" s="2" t="str">
        <f t="shared" si="11"/>
        <v>Christian de GOUSSENCOURT</v>
      </c>
      <c r="E69" s="2" t="str">
        <f t="shared" si="12"/>
        <v>de GOUSSENCOURT Christian</v>
      </c>
      <c r="F69" s="9">
        <v>18</v>
      </c>
      <c r="G69" s="9" t="s">
        <v>84</v>
      </c>
      <c r="H69" s="214">
        <v>198924</v>
      </c>
      <c r="I69" s="4" t="s">
        <v>1978</v>
      </c>
      <c r="J69" s="217" t="s">
        <v>1540</v>
      </c>
      <c r="K69" s="21">
        <v>18645</v>
      </c>
      <c r="L69" s="23">
        <f t="shared" si="13"/>
        <v>66</v>
      </c>
      <c r="M69" s="23">
        <f t="shared" si="14"/>
        <v>84</v>
      </c>
      <c r="N69" s="8" t="str">
        <f ca="1" t="shared" si="15"/>
        <v> </v>
      </c>
      <c r="O69" s="8" t="str">
        <f t="shared" si="9"/>
        <v> </v>
      </c>
      <c r="P69" s="8"/>
      <c r="Q69" s="2" t="s">
        <v>1830</v>
      </c>
      <c r="R69" s="3">
        <v>1410</v>
      </c>
      <c r="S69" s="2" t="s">
        <v>534</v>
      </c>
      <c r="T69" s="2" t="s">
        <v>1831</v>
      </c>
      <c r="U69" s="2" t="s">
        <v>1832</v>
      </c>
      <c r="V69" s="9">
        <v>18</v>
      </c>
      <c r="W69" s="5">
        <f t="shared" si="16"/>
        <v>0</v>
      </c>
      <c r="X69" s="6">
        <f t="shared" si="17"/>
        <v>0</v>
      </c>
    </row>
    <row r="70" spans="1:25" ht="12">
      <c r="A70" s="201" t="s">
        <v>1092</v>
      </c>
      <c r="B70" s="202" t="s">
        <v>1160</v>
      </c>
      <c r="C70" s="201" t="s">
        <v>134</v>
      </c>
      <c r="D70" s="201" t="str">
        <f t="shared" si="11"/>
        <v>Jacques de KRIEK</v>
      </c>
      <c r="E70" s="201" t="str">
        <f t="shared" si="12"/>
        <v>de KRIEK Jacques</v>
      </c>
      <c r="F70" s="203">
        <v>26.4</v>
      </c>
      <c r="G70" s="203" t="s">
        <v>84</v>
      </c>
      <c r="H70" s="215">
        <v>722662</v>
      </c>
      <c r="I70" s="4" t="s">
        <v>103</v>
      </c>
      <c r="J70" s="217" t="s">
        <v>1540</v>
      </c>
      <c r="K70" s="204">
        <v>16287</v>
      </c>
      <c r="L70" s="205">
        <f t="shared" si="13"/>
        <v>72</v>
      </c>
      <c r="M70" s="205">
        <f t="shared" si="14"/>
        <v>98.4</v>
      </c>
      <c r="N70" s="206" t="str">
        <f ca="1" t="shared" si="15"/>
        <v> </v>
      </c>
      <c r="O70" s="206" t="str">
        <f t="shared" si="9"/>
        <v> </v>
      </c>
      <c r="P70" s="206" t="s">
        <v>1540</v>
      </c>
      <c r="Q70" s="201" t="s">
        <v>104</v>
      </c>
      <c r="R70" s="207">
        <v>1410</v>
      </c>
      <c r="S70" s="201" t="s">
        <v>534</v>
      </c>
      <c r="T70" s="201" t="s">
        <v>105</v>
      </c>
      <c r="U70" s="201" t="s">
        <v>106</v>
      </c>
      <c r="V70" s="203">
        <v>26.4</v>
      </c>
      <c r="W70" s="208">
        <f t="shared" si="16"/>
        <v>0</v>
      </c>
      <c r="X70" s="209">
        <f t="shared" si="17"/>
        <v>0</v>
      </c>
      <c r="Y70" s="210"/>
    </row>
    <row r="71" spans="1:24" ht="12">
      <c r="A71" s="2" t="s">
        <v>1092</v>
      </c>
      <c r="B71" s="196" t="s">
        <v>1228</v>
      </c>
      <c r="C71" s="2" t="s">
        <v>437</v>
      </c>
      <c r="D71" s="2" t="str">
        <f t="shared" si="11"/>
        <v>François de MEESTER de HEYNDONCK</v>
      </c>
      <c r="E71" s="2" t="str">
        <f t="shared" si="12"/>
        <v>de MEESTER de HEYNDONCK François</v>
      </c>
      <c r="F71" s="9">
        <v>22.3</v>
      </c>
      <c r="G71" s="9" t="s">
        <v>84</v>
      </c>
      <c r="H71" s="214">
        <v>227002</v>
      </c>
      <c r="I71" s="4" t="s">
        <v>907</v>
      </c>
      <c r="J71" s="217" t="s">
        <v>1540</v>
      </c>
      <c r="K71" s="21">
        <v>14955</v>
      </c>
      <c r="L71" s="23">
        <f t="shared" si="13"/>
        <v>76</v>
      </c>
      <c r="M71" s="23">
        <f t="shared" si="14"/>
        <v>98.3</v>
      </c>
      <c r="N71" s="8" t="str">
        <f ca="1" t="shared" si="15"/>
        <v> </v>
      </c>
      <c r="O71" s="8" t="str">
        <f t="shared" si="9"/>
        <v> </v>
      </c>
      <c r="P71" s="8" t="s">
        <v>1540</v>
      </c>
      <c r="Q71" s="2" t="s">
        <v>439</v>
      </c>
      <c r="R71" s="3">
        <v>1420</v>
      </c>
      <c r="S71" s="2" t="s">
        <v>535</v>
      </c>
      <c r="T71" s="2" t="s">
        <v>438</v>
      </c>
      <c r="U71" s="2" t="s">
        <v>719</v>
      </c>
      <c r="V71" s="9">
        <v>22.3</v>
      </c>
      <c r="W71" s="5">
        <f t="shared" si="16"/>
        <v>0</v>
      </c>
      <c r="X71" s="6">
        <f t="shared" si="17"/>
        <v>0</v>
      </c>
    </row>
    <row r="72" spans="1:24" ht="12">
      <c r="A72" s="2" t="s">
        <v>1093</v>
      </c>
      <c r="B72" s="196" t="s">
        <v>1227</v>
      </c>
      <c r="C72" s="2" t="s">
        <v>437</v>
      </c>
      <c r="D72" s="2" t="str">
        <f t="shared" si="11"/>
        <v>Véronique de MEESTER de HEYNDONCK</v>
      </c>
      <c r="E72" s="2" t="str">
        <f t="shared" si="12"/>
        <v>de MEESTER de HEYNDONCK Véronique</v>
      </c>
      <c r="F72" s="9">
        <v>15.7</v>
      </c>
      <c r="G72" s="9" t="s">
        <v>84</v>
      </c>
      <c r="H72" s="214">
        <v>227003</v>
      </c>
      <c r="I72" s="4" t="s">
        <v>1768</v>
      </c>
      <c r="J72" s="217" t="s">
        <v>1540</v>
      </c>
      <c r="K72" s="21">
        <v>15001</v>
      </c>
      <c r="L72" s="23">
        <f t="shared" si="13"/>
        <v>76</v>
      </c>
      <c r="M72" s="23">
        <f t="shared" si="14"/>
        <v>91.7</v>
      </c>
      <c r="N72" s="8" t="str">
        <f ca="1" t="shared" si="15"/>
        <v> </v>
      </c>
      <c r="O72" s="8" t="str">
        <f t="shared" si="9"/>
        <v> </v>
      </c>
      <c r="P72" s="8" t="s">
        <v>1540</v>
      </c>
      <c r="Q72" s="2" t="s">
        <v>440</v>
      </c>
      <c r="R72" s="3">
        <v>1420</v>
      </c>
      <c r="S72" s="2" t="s">
        <v>535</v>
      </c>
      <c r="T72" s="2" t="s">
        <v>438</v>
      </c>
      <c r="U72" s="2"/>
      <c r="V72" s="9">
        <v>15.7</v>
      </c>
      <c r="W72" s="5">
        <f t="shared" si="16"/>
        <v>0</v>
      </c>
      <c r="X72" s="6">
        <f t="shared" si="17"/>
        <v>0</v>
      </c>
    </row>
    <row r="73" spans="1:24" ht="12">
      <c r="A73" s="2" t="s">
        <v>1092</v>
      </c>
      <c r="B73" s="196" t="s">
        <v>1229</v>
      </c>
      <c r="C73" s="2" t="s">
        <v>1244</v>
      </c>
      <c r="D73" s="2" t="str">
        <f t="shared" si="11"/>
        <v>Gilles de MUYSER LANTWYCK </v>
      </c>
      <c r="E73" s="2" t="str">
        <f t="shared" si="12"/>
        <v>de MUYSER LANTWYCK  Gilles</v>
      </c>
      <c r="F73" s="9">
        <v>20.3</v>
      </c>
      <c r="G73" s="9" t="s">
        <v>84</v>
      </c>
      <c r="H73" s="214">
        <v>227009</v>
      </c>
      <c r="I73" s="4" t="s">
        <v>908</v>
      </c>
      <c r="J73" s="217" t="s">
        <v>1540</v>
      </c>
      <c r="K73" s="21">
        <v>20470</v>
      </c>
      <c r="L73" s="23">
        <f t="shared" si="13"/>
        <v>61</v>
      </c>
      <c r="M73" s="23">
        <f t="shared" si="14"/>
        <v>81.3</v>
      </c>
      <c r="N73" s="8" t="str">
        <f ca="1" t="shared" si="15"/>
        <v> </v>
      </c>
      <c r="O73" s="8" t="str">
        <f t="shared" si="9"/>
        <v> </v>
      </c>
      <c r="P73" s="8" t="s">
        <v>1540</v>
      </c>
      <c r="Q73" s="2" t="s">
        <v>555</v>
      </c>
      <c r="R73" s="3">
        <v>1180</v>
      </c>
      <c r="S73" s="2" t="s">
        <v>546</v>
      </c>
      <c r="T73" s="2"/>
      <c r="U73" s="2" t="s">
        <v>556</v>
      </c>
      <c r="V73" s="9">
        <v>20.3</v>
      </c>
      <c r="W73" s="5">
        <f t="shared" si="16"/>
        <v>0</v>
      </c>
      <c r="X73" s="6">
        <f t="shared" si="17"/>
        <v>0</v>
      </c>
    </row>
    <row r="74" spans="1:24" ht="12">
      <c r="A74" s="2" t="s">
        <v>1093</v>
      </c>
      <c r="B74" s="196" t="s">
        <v>1230</v>
      </c>
      <c r="C74" s="2" t="s">
        <v>1245</v>
      </c>
      <c r="D74" s="2" t="str">
        <f t="shared" si="11"/>
        <v>Jacqueline de PATOUL </v>
      </c>
      <c r="E74" s="2" t="str">
        <f t="shared" si="12"/>
        <v>de PATOUL  Jacqueline</v>
      </c>
      <c r="F74" s="9">
        <v>23.1</v>
      </c>
      <c r="G74" s="9" t="s">
        <v>84</v>
      </c>
      <c r="H74" s="214">
        <v>709891</v>
      </c>
      <c r="I74" s="4" t="s">
        <v>909</v>
      </c>
      <c r="J74" s="217" t="s">
        <v>1540</v>
      </c>
      <c r="K74" s="21">
        <v>16040</v>
      </c>
      <c r="L74" s="23">
        <f t="shared" si="13"/>
        <v>73</v>
      </c>
      <c r="M74" s="23">
        <f t="shared" si="14"/>
        <v>96.1</v>
      </c>
      <c r="N74" s="8" t="str">
        <f ca="1" t="shared" si="15"/>
        <v> </v>
      </c>
      <c r="O74" s="8" t="str">
        <f t="shared" si="9"/>
        <v> </v>
      </c>
      <c r="P74" s="8" t="s">
        <v>1540</v>
      </c>
      <c r="Q74" s="2" t="s">
        <v>691</v>
      </c>
      <c r="R74" s="3">
        <v>1640</v>
      </c>
      <c r="S74" s="2" t="s">
        <v>345</v>
      </c>
      <c r="T74" s="2" t="s">
        <v>462</v>
      </c>
      <c r="U74" s="2" t="s">
        <v>512</v>
      </c>
      <c r="V74" s="9">
        <v>23.1</v>
      </c>
      <c r="W74" s="5">
        <f t="shared" si="16"/>
        <v>0</v>
      </c>
      <c r="X74" s="6">
        <f t="shared" si="17"/>
        <v>0</v>
      </c>
    </row>
    <row r="75" spans="1:24" ht="12">
      <c r="A75" s="2" t="s">
        <v>1092</v>
      </c>
      <c r="B75" s="196" t="s">
        <v>1223</v>
      </c>
      <c r="C75" s="2" t="s">
        <v>1245</v>
      </c>
      <c r="D75" s="2" t="str">
        <f t="shared" si="11"/>
        <v>Thierry de PATOUL </v>
      </c>
      <c r="E75" s="2" t="str">
        <f t="shared" si="12"/>
        <v>de PATOUL  Thierry</v>
      </c>
      <c r="F75" s="9">
        <v>21.4</v>
      </c>
      <c r="G75" s="9" t="s">
        <v>84</v>
      </c>
      <c r="H75" s="214">
        <v>294914</v>
      </c>
      <c r="I75" s="4" t="s">
        <v>910</v>
      </c>
      <c r="J75" s="217" t="s">
        <v>1540</v>
      </c>
      <c r="K75" s="21">
        <v>14571</v>
      </c>
      <c r="L75" s="23">
        <f t="shared" si="13"/>
        <v>77</v>
      </c>
      <c r="M75" s="23">
        <f t="shared" si="14"/>
        <v>98.4</v>
      </c>
      <c r="N75" s="8" t="str">
        <f ca="1" t="shared" si="15"/>
        <v> </v>
      </c>
      <c r="O75" s="8" t="str">
        <f t="shared" si="9"/>
        <v> </v>
      </c>
      <c r="P75" s="8" t="s">
        <v>1540</v>
      </c>
      <c r="Q75" s="2" t="s">
        <v>691</v>
      </c>
      <c r="R75" s="3">
        <v>1640</v>
      </c>
      <c r="S75" s="2" t="s">
        <v>345</v>
      </c>
      <c r="T75" s="2" t="s">
        <v>462</v>
      </c>
      <c r="U75" s="2" t="s">
        <v>442</v>
      </c>
      <c r="V75" s="9">
        <v>21.4</v>
      </c>
      <c r="W75" s="5">
        <f t="shared" si="16"/>
        <v>0</v>
      </c>
      <c r="X75" s="6">
        <f t="shared" si="17"/>
        <v>0</v>
      </c>
    </row>
    <row r="76" spans="1:24" ht="12">
      <c r="A76" s="2" t="s">
        <v>1092</v>
      </c>
      <c r="B76" s="196" t="s">
        <v>1146</v>
      </c>
      <c r="C76" s="2" t="s">
        <v>1246</v>
      </c>
      <c r="D76" s="2" t="str">
        <f t="shared" si="11"/>
        <v>Michel de SAUVAGE</v>
      </c>
      <c r="E76" s="2" t="str">
        <f t="shared" si="12"/>
        <v>de SAUVAGE Michel</v>
      </c>
      <c r="F76" s="9">
        <v>21.6</v>
      </c>
      <c r="G76" s="9" t="s">
        <v>84</v>
      </c>
      <c r="H76" s="214">
        <v>221603</v>
      </c>
      <c r="I76" s="4" t="s">
        <v>911</v>
      </c>
      <c r="J76" s="217" t="s">
        <v>1540</v>
      </c>
      <c r="K76" s="21">
        <v>19217</v>
      </c>
      <c r="L76" s="23">
        <f t="shared" si="13"/>
        <v>64</v>
      </c>
      <c r="M76" s="23">
        <f t="shared" si="14"/>
        <v>85.6</v>
      </c>
      <c r="N76" s="8" t="str">
        <f ca="1" t="shared" si="15"/>
        <v> </v>
      </c>
      <c r="O76" s="8" t="str">
        <f t="shared" si="9"/>
        <v> </v>
      </c>
      <c r="P76" s="8" t="s">
        <v>1540</v>
      </c>
      <c r="Q76" s="2" t="s">
        <v>791</v>
      </c>
      <c r="R76" s="3">
        <v>1930</v>
      </c>
      <c r="S76" s="2" t="s">
        <v>790</v>
      </c>
      <c r="T76" s="2"/>
      <c r="U76" s="2" t="s">
        <v>792</v>
      </c>
      <c r="V76" s="9">
        <v>21.6</v>
      </c>
      <c r="W76" s="5">
        <f t="shared" si="16"/>
        <v>0</v>
      </c>
      <c r="X76" s="6">
        <f t="shared" si="17"/>
        <v>0</v>
      </c>
    </row>
    <row r="77" spans="1:24" ht="12">
      <c r="A77" s="2" t="s">
        <v>1093</v>
      </c>
      <c r="B77" s="196" t="s">
        <v>1227</v>
      </c>
      <c r="C77" s="2" t="s">
        <v>1247</v>
      </c>
      <c r="D77" s="2" t="str">
        <f t="shared" si="11"/>
        <v>Véronique de SAUVAGE </v>
      </c>
      <c r="E77" s="2" t="str">
        <f t="shared" si="12"/>
        <v>de SAUVAGE  Véronique</v>
      </c>
      <c r="F77" s="9">
        <v>13.1</v>
      </c>
      <c r="G77" s="9" t="s">
        <v>84</v>
      </c>
      <c r="H77" s="214">
        <v>227034</v>
      </c>
      <c r="I77" s="4" t="s">
        <v>912</v>
      </c>
      <c r="J77" s="217" t="s">
        <v>1540</v>
      </c>
      <c r="K77" s="21">
        <v>20873</v>
      </c>
      <c r="L77" s="23">
        <f t="shared" si="13"/>
        <v>60</v>
      </c>
      <c r="M77" s="23">
        <f t="shared" si="14"/>
        <v>73.1</v>
      </c>
      <c r="N77" s="8" t="str">
        <f ca="1" t="shared" si="15"/>
        <v> </v>
      </c>
      <c r="O77" s="8" t="str">
        <f t="shared" si="9"/>
        <v> </v>
      </c>
      <c r="P77" s="8"/>
      <c r="Q77" s="2" t="s">
        <v>334</v>
      </c>
      <c r="R77" s="3">
        <v>1640</v>
      </c>
      <c r="S77" s="2" t="s">
        <v>345</v>
      </c>
      <c r="T77" s="2" t="s">
        <v>335</v>
      </c>
      <c r="U77" s="2" t="s">
        <v>336</v>
      </c>
      <c r="V77" s="9">
        <v>13.1</v>
      </c>
      <c r="W77" s="5">
        <f t="shared" si="16"/>
        <v>0</v>
      </c>
      <c r="X77" s="6">
        <f t="shared" si="17"/>
        <v>0</v>
      </c>
    </row>
    <row r="78" spans="1:24" ht="12">
      <c r="A78" s="2" t="s">
        <v>1093</v>
      </c>
      <c r="B78" s="196" t="s">
        <v>1231</v>
      </c>
      <c r="C78" s="2" t="s">
        <v>1753</v>
      </c>
      <c r="D78" s="2" t="str">
        <f t="shared" si="11"/>
        <v>Anne-Chantal de SCHRYNMAKERS</v>
      </c>
      <c r="E78" s="2" t="str">
        <f t="shared" si="12"/>
        <v>de SCHRYNMAKERS Anne-Chantal</v>
      </c>
      <c r="F78" s="9">
        <v>16.5</v>
      </c>
      <c r="G78" s="9" t="s">
        <v>84</v>
      </c>
      <c r="H78" s="214">
        <v>707935</v>
      </c>
      <c r="I78" s="4" t="s">
        <v>913</v>
      </c>
      <c r="J78" s="217" t="s">
        <v>1540</v>
      </c>
      <c r="K78" s="21">
        <v>18489</v>
      </c>
      <c r="L78" s="23">
        <f t="shared" si="13"/>
        <v>66</v>
      </c>
      <c r="M78" s="23">
        <f t="shared" si="14"/>
        <v>82.5</v>
      </c>
      <c r="N78" s="8" t="str">
        <f ca="1" t="shared" si="15"/>
        <v> </v>
      </c>
      <c r="O78" s="8" t="str">
        <f t="shared" si="9"/>
        <v> </v>
      </c>
      <c r="P78" s="8" t="s">
        <v>1540</v>
      </c>
      <c r="Q78" s="2" t="s">
        <v>662</v>
      </c>
      <c r="R78" s="3">
        <v>1420</v>
      </c>
      <c r="S78" s="2" t="s">
        <v>535</v>
      </c>
      <c r="T78" s="2" t="s">
        <v>344</v>
      </c>
      <c r="U78" s="2" t="s">
        <v>393</v>
      </c>
      <c r="V78" s="9">
        <v>16.5</v>
      </c>
      <c r="W78" s="5">
        <f t="shared" si="16"/>
        <v>0</v>
      </c>
      <c r="X78" s="6">
        <f t="shared" si="17"/>
        <v>0</v>
      </c>
    </row>
    <row r="79" spans="1:24" ht="12">
      <c r="A79" s="2" t="s">
        <v>1092</v>
      </c>
      <c r="B79" s="196" t="s">
        <v>1232</v>
      </c>
      <c r="C79" s="2" t="s">
        <v>1753</v>
      </c>
      <c r="D79" s="2" t="str">
        <f t="shared" si="11"/>
        <v>Patrick de SCHRYNMAKERS</v>
      </c>
      <c r="E79" s="2" t="str">
        <f t="shared" si="12"/>
        <v>de SCHRYNMAKERS Patrick</v>
      </c>
      <c r="F79" s="9">
        <v>23.1</v>
      </c>
      <c r="G79" s="9" t="s">
        <v>84</v>
      </c>
      <c r="H79" s="214">
        <v>198530</v>
      </c>
      <c r="I79" s="4" t="s">
        <v>914</v>
      </c>
      <c r="J79" s="217" t="s">
        <v>1540</v>
      </c>
      <c r="K79" s="21">
        <v>17962</v>
      </c>
      <c r="L79" s="23">
        <f t="shared" si="13"/>
        <v>68</v>
      </c>
      <c r="M79" s="23">
        <f t="shared" si="14"/>
        <v>91.1</v>
      </c>
      <c r="N79" s="8" t="str">
        <f ca="1" t="shared" si="15"/>
        <v> </v>
      </c>
      <c r="O79" s="8" t="str">
        <f t="shared" si="9"/>
        <v> </v>
      </c>
      <c r="P79" s="8" t="s">
        <v>1540</v>
      </c>
      <c r="Q79" s="2" t="s">
        <v>662</v>
      </c>
      <c r="R79" s="3">
        <v>1420</v>
      </c>
      <c r="S79" s="2" t="s">
        <v>535</v>
      </c>
      <c r="T79" s="2" t="s">
        <v>344</v>
      </c>
      <c r="U79" s="2" t="s">
        <v>741</v>
      </c>
      <c r="V79" s="9">
        <v>23.1</v>
      </c>
      <c r="W79" s="5">
        <f t="shared" si="16"/>
        <v>0</v>
      </c>
      <c r="X79" s="6">
        <f t="shared" si="17"/>
        <v>0</v>
      </c>
    </row>
    <row r="80" spans="1:24" ht="12">
      <c r="A80" s="2" t="s">
        <v>1093</v>
      </c>
      <c r="B80" s="196" t="s">
        <v>1226</v>
      </c>
      <c r="C80" s="2" t="s">
        <v>197</v>
      </c>
      <c r="D80" s="2" t="str">
        <f t="shared" si="11"/>
        <v>Françoise de TROOSTENBERGH-de GOUSSENCOURT</v>
      </c>
      <c r="E80" s="2" t="str">
        <f t="shared" si="12"/>
        <v>de TROOSTENBERGH-de GOUSSENCOURT Françoise</v>
      </c>
      <c r="F80" s="9">
        <v>36</v>
      </c>
      <c r="G80" s="9" t="s">
        <v>84</v>
      </c>
      <c r="H80" s="214">
        <v>1002098</v>
      </c>
      <c r="I80" s="4" t="s">
        <v>906</v>
      </c>
      <c r="J80" s="217" t="s">
        <v>1540</v>
      </c>
      <c r="K80" s="21">
        <v>18297</v>
      </c>
      <c r="L80" s="23">
        <f t="shared" si="13"/>
        <v>67</v>
      </c>
      <c r="M80" s="23">
        <f t="shared" si="14"/>
        <v>103</v>
      </c>
      <c r="N80" s="8" t="str">
        <f ca="1" t="shared" si="15"/>
        <v> </v>
      </c>
      <c r="O80" s="8" t="str">
        <f t="shared" si="9"/>
        <v> </v>
      </c>
      <c r="P80" s="8"/>
      <c r="Q80" s="2" t="s">
        <v>859</v>
      </c>
      <c r="R80" s="3">
        <v>1640</v>
      </c>
      <c r="S80" s="2" t="s">
        <v>345</v>
      </c>
      <c r="T80" s="2" t="s">
        <v>196</v>
      </c>
      <c r="U80" s="2" t="s">
        <v>860</v>
      </c>
      <c r="V80" s="9">
        <v>36</v>
      </c>
      <c r="W80" s="5">
        <f t="shared" si="16"/>
        <v>0</v>
      </c>
      <c r="X80" s="6">
        <f t="shared" si="17"/>
        <v>0</v>
      </c>
    </row>
    <row r="81" spans="1:24" ht="12">
      <c r="A81" s="2" t="s">
        <v>1093</v>
      </c>
      <c r="B81" s="196" t="s">
        <v>1860</v>
      </c>
      <c r="C81" s="2" t="s">
        <v>1861</v>
      </c>
      <c r="D81" s="2" t="str">
        <f t="shared" si="11"/>
        <v>Dominique  DE VLIEGHER</v>
      </c>
      <c r="E81" s="2" t="str">
        <f t="shared" si="12"/>
        <v>DE VLIEGHER Dominique </v>
      </c>
      <c r="F81" s="9">
        <v>16.9</v>
      </c>
      <c r="G81" s="9" t="s">
        <v>84</v>
      </c>
      <c r="H81" s="214">
        <v>717857</v>
      </c>
      <c r="I81" s="4" t="s">
        <v>1912</v>
      </c>
      <c r="J81" s="217"/>
      <c r="K81" s="21">
        <v>22283</v>
      </c>
      <c r="L81" s="23">
        <f t="shared" si="13"/>
        <v>56</v>
      </c>
      <c r="M81" s="23">
        <f t="shared" si="14"/>
        <v>72.9</v>
      </c>
      <c r="N81" s="8" t="str">
        <f ca="1" t="shared" si="15"/>
        <v> </v>
      </c>
      <c r="O81" s="8" t="str">
        <f t="shared" si="9"/>
        <v> </v>
      </c>
      <c r="P81" s="8"/>
      <c r="Q81" s="2" t="s">
        <v>1873</v>
      </c>
      <c r="R81" s="3">
        <v>1640</v>
      </c>
      <c r="S81" s="2" t="s">
        <v>345</v>
      </c>
      <c r="T81" s="2"/>
      <c r="U81" s="2" t="s">
        <v>1874</v>
      </c>
      <c r="V81" s="9">
        <v>16.9</v>
      </c>
      <c r="W81" s="5">
        <f t="shared" si="16"/>
        <v>0</v>
      </c>
      <c r="X81" s="6">
        <f t="shared" si="17"/>
        <v>0</v>
      </c>
    </row>
    <row r="82" spans="1:24" ht="12">
      <c r="A82" s="2" t="s">
        <v>1092</v>
      </c>
      <c r="B82" s="196" t="s">
        <v>1264</v>
      </c>
      <c r="C82" s="2" t="s">
        <v>1248</v>
      </c>
      <c r="D82" s="2" t="str">
        <f t="shared" si="11"/>
        <v>Louis DE VOS</v>
      </c>
      <c r="E82" s="2" t="str">
        <f t="shared" si="12"/>
        <v>DE VOS Louis</v>
      </c>
      <c r="F82" s="9">
        <v>22.5</v>
      </c>
      <c r="G82" s="9" t="s">
        <v>84</v>
      </c>
      <c r="H82" s="214">
        <v>227051</v>
      </c>
      <c r="I82" s="4" t="s">
        <v>915</v>
      </c>
      <c r="J82" s="217" t="s">
        <v>1540</v>
      </c>
      <c r="K82" s="21">
        <v>15694</v>
      </c>
      <c r="L82" s="23">
        <f t="shared" si="13"/>
        <v>74</v>
      </c>
      <c r="M82" s="23">
        <f t="shared" si="14"/>
        <v>96.5</v>
      </c>
      <c r="N82" s="8" t="str">
        <f ca="1" t="shared" si="15"/>
        <v> </v>
      </c>
      <c r="O82" s="8" t="str">
        <f t="shared" si="9"/>
        <v> </v>
      </c>
      <c r="P82" s="8" t="s">
        <v>1540</v>
      </c>
      <c r="Q82" s="2" t="s">
        <v>431</v>
      </c>
      <c r="R82" s="3">
        <v>1640</v>
      </c>
      <c r="S82" s="2" t="s">
        <v>345</v>
      </c>
      <c r="T82" s="2" t="s">
        <v>378</v>
      </c>
      <c r="U82" s="2" t="s">
        <v>420</v>
      </c>
      <c r="V82" s="9">
        <v>22.5</v>
      </c>
      <c r="W82" s="5">
        <f t="shared" si="16"/>
        <v>0</v>
      </c>
      <c r="X82" s="6">
        <f t="shared" si="17"/>
        <v>0</v>
      </c>
    </row>
    <row r="83" spans="1:24" ht="12">
      <c r="A83" s="2" t="s">
        <v>1093</v>
      </c>
      <c r="B83" s="196" t="s">
        <v>1233</v>
      </c>
      <c r="C83" s="2" t="s">
        <v>1249</v>
      </c>
      <c r="D83" s="2" t="str">
        <f t="shared" si="11"/>
        <v>Marie-Claude DE VOS </v>
      </c>
      <c r="E83" s="2" t="str">
        <f t="shared" si="12"/>
        <v>DE VOS  Marie-Claude</v>
      </c>
      <c r="F83" s="9">
        <v>22.1</v>
      </c>
      <c r="G83" s="9" t="s">
        <v>84</v>
      </c>
      <c r="H83" s="214">
        <v>227052</v>
      </c>
      <c r="I83" s="4" t="s">
        <v>916</v>
      </c>
      <c r="J83" s="217" t="s">
        <v>1540</v>
      </c>
      <c r="K83" s="21">
        <v>18226</v>
      </c>
      <c r="L83" s="23">
        <f t="shared" si="13"/>
        <v>67</v>
      </c>
      <c r="M83" s="23">
        <f t="shared" si="14"/>
        <v>89.1</v>
      </c>
      <c r="N83" s="8" t="str">
        <f ca="1" t="shared" si="15"/>
        <v> </v>
      </c>
      <c r="O83" s="8" t="str">
        <f t="shared" si="9"/>
        <v> </v>
      </c>
      <c r="P83" s="8" t="s">
        <v>1540</v>
      </c>
      <c r="Q83" s="2" t="s">
        <v>431</v>
      </c>
      <c r="R83" s="3">
        <v>1640</v>
      </c>
      <c r="S83" s="2" t="s">
        <v>345</v>
      </c>
      <c r="T83" s="2" t="s">
        <v>378</v>
      </c>
      <c r="U83" s="2" t="s">
        <v>421</v>
      </c>
      <c r="V83" s="9">
        <v>22.1</v>
      </c>
      <c r="W83" s="5">
        <f t="shared" si="16"/>
        <v>0</v>
      </c>
      <c r="X83" s="6">
        <f t="shared" si="17"/>
        <v>0</v>
      </c>
    </row>
    <row r="84" spans="1:24" ht="12">
      <c r="A84" s="2" t="s">
        <v>1093</v>
      </c>
      <c r="B84" s="196" t="s">
        <v>1215</v>
      </c>
      <c r="C84" s="2" t="s">
        <v>154</v>
      </c>
      <c r="D84" s="2" t="str">
        <f t="shared" si="11"/>
        <v>Régine DE WITTE-DUBOIS</v>
      </c>
      <c r="E84" s="2" t="str">
        <f t="shared" si="12"/>
        <v>DE WITTE-DUBOIS Régine</v>
      </c>
      <c r="F84" s="9">
        <v>24.5</v>
      </c>
      <c r="G84" s="9" t="s">
        <v>84</v>
      </c>
      <c r="H84" s="214">
        <v>226062</v>
      </c>
      <c r="I84" s="4" t="s">
        <v>1979</v>
      </c>
      <c r="J84" s="217" t="s">
        <v>1540</v>
      </c>
      <c r="K84" s="21">
        <v>17977</v>
      </c>
      <c r="L84" s="23">
        <f t="shared" si="13"/>
        <v>68</v>
      </c>
      <c r="M84" s="23">
        <f t="shared" si="14"/>
        <v>92.5</v>
      </c>
      <c r="N84" s="8" t="str">
        <f ca="1" t="shared" si="15"/>
        <v> </v>
      </c>
      <c r="O84" s="8" t="str">
        <f t="shared" si="9"/>
        <v> </v>
      </c>
      <c r="P84" s="8" t="s">
        <v>1540</v>
      </c>
      <c r="Q84" s="2" t="s">
        <v>1952</v>
      </c>
      <c r="R84" s="3">
        <v>1180</v>
      </c>
      <c r="S84" s="2" t="s">
        <v>1953</v>
      </c>
      <c r="T84" s="2" t="s">
        <v>1954</v>
      </c>
      <c r="U84" s="2" t="s">
        <v>1955</v>
      </c>
      <c r="V84" s="9">
        <v>24.5</v>
      </c>
      <c r="W84" s="5">
        <f t="shared" si="16"/>
        <v>0</v>
      </c>
      <c r="X84" s="6">
        <f t="shared" si="17"/>
        <v>0</v>
      </c>
    </row>
    <row r="85" spans="1:24" ht="12">
      <c r="A85" s="2" t="s">
        <v>1093</v>
      </c>
      <c r="B85" s="196" t="s">
        <v>1234</v>
      </c>
      <c r="C85" s="2" t="s">
        <v>1251</v>
      </c>
      <c r="D85" s="2" t="str">
        <f t="shared" si="11"/>
        <v>Anne-Marie DEBAEKE</v>
      </c>
      <c r="E85" s="2" t="str">
        <f t="shared" si="12"/>
        <v>DEBAEKE Anne-Marie</v>
      </c>
      <c r="F85" s="9">
        <v>36</v>
      </c>
      <c r="G85" s="9" t="s">
        <v>83</v>
      </c>
      <c r="H85" s="214">
        <v>254071</v>
      </c>
      <c r="I85" s="4" t="s">
        <v>917</v>
      </c>
      <c r="J85" s="217" t="s">
        <v>1540</v>
      </c>
      <c r="K85" s="21">
        <v>17244</v>
      </c>
      <c r="L85" s="23">
        <f t="shared" si="13"/>
        <v>70</v>
      </c>
      <c r="M85" s="23">
        <f t="shared" si="14"/>
        <v>106</v>
      </c>
      <c r="N85" s="8" t="str">
        <f ca="1" t="shared" si="15"/>
        <v> </v>
      </c>
      <c r="O85" s="8" t="str">
        <f t="shared" si="9"/>
        <v> </v>
      </c>
      <c r="P85" s="8" t="s">
        <v>1540</v>
      </c>
      <c r="Q85" s="2" t="s">
        <v>183</v>
      </c>
      <c r="R85" s="3">
        <v>1180</v>
      </c>
      <c r="S85" s="2" t="s">
        <v>546</v>
      </c>
      <c r="T85" s="2" t="s">
        <v>742</v>
      </c>
      <c r="U85" s="2" t="s">
        <v>772</v>
      </c>
      <c r="V85" s="9">
        <v>36</v>
      </c>
      <c r="W85" s="5">
        <f t="shared" si="16"/>
        <v>0</v>
      </c>
      <c r="X85" s="6">
        <f t="shared" si="17"/>
        <v>0</v>
      </c>
    </row>
    <row r="86" spans="1:24" ht="12">
      <c r="A86" s="2" t="s">
        <v>1092</v>
      </c>
      <c r="B86" s="196" t="s">
        <v>1252</v>
      </c>
      <c r="C86" s="2" t="s">
        <v>1251</v>
      </c>
      <c r="D86" s="2" t="str">
        <f t="shared" si="11"/>
        <v>Etienne DEBAEKE</v>
      </c>
      <c r="E86" s="2" t="str">
        <f t="shared" si="12"/>
        <v>DEBAEKE Etienne</v>
      </c>
      <c r="F86" s="9">
        <v>20</v>
      </c>
      <c r="G86" s="9" t="s">
        <v>84</v>
      </c>
      <c r="H86" s="214">
        <v>254040</v>
      </c>
      <c r="I86" s="4" t="s">
        <v>918</v>
      </c>
      <c r="J86" s="217" t="s">
        <v>1540</v>
      </c>
      <c r="K86" s="21">
        <v>18024</v>
      </c>
      <c r="L86" s="23">
        <f t="shared" si="13"/>
        <v>68</v>
      </c>
      <c r="M86" s="23">
        <f t="shared" si="14"/>
        <v>88</v>
      </c>
      <c r="N86" s="8" t="str">
        <f ca="1" t="shared" si="15"/>
        <v> </v>
      </c>
      <c r="O86" s="8" t="str">
        <f t="shared" si="9"/>
        <v> </v>
      </c>
      <c r="P86" s="8" t="s">
        <v>1540</v>
      </c>
      <c r="Q86" s="2" t="s">
        <v>183</v>
      </c>
      <c r="R86" s="3">
        <v>1180</v>
      </c>
      <c r="S86" s="2" t="s">
        <v>546</v>
      </c>
      <c r="T86" s="2" t="s">
        <v>742</v>
      </c>
      <c r="U86" s="2" t="s">
        <v>743</v>
      </c>
      <c r="V86" s="9">
        <v>20</v>
      </c>
      <c r="W86" s="5">
        <f t="shared" si="16"/>
        <v>0</v>
      </c>
      <c r="X86" s="6">
        <f t="shared" si="17"/>
        <v>0</v>
      </c>
    </row>
    <row r="87" spans="1:24" ht="12">
      <c r="A87" s="2" t="s">
        <v>1092</v>
      </c>
      <c r="B87" s="196" t="s">
        <v>1253</v>
      </c>
      <c r="C87" s="2" t="s">
        <v>1250</v>
      </c>
      <c r="D87" s="2" t="str">
        <f t="shared" si="11"/>
        <v>Pierre DEBAEKE </v>
      </c>
      <c r="E87" s="2" t="str">
        <f t="shared" si="12"/>
        <v>DEBAEKE  Pierre</v>
      </c>
      <c r="F87" s="9">
        <v>13.6</v>
      </c>
      <c r="G87" s="9" t="s">
        <v>84</v>
      </c>
      <c r="H87" s="214">
        <v>226937</v>
      </c>
      <c r="I87" s="4" t="s">
        <v>919</v>
      </c>
      <c r="J87" s="217" t="s">
        <v>1540</v>
      </c>
      <c r="K87" s="21">
        <v>16771</v>
      </c>
      <c r="L87" s="23">
        <f t="shared" si="13"/>
        <v>71</v>
      </c>
      <c r="M87" s="23">
        <f t="shared" si="14"/>
        <v>84.6</v>
      </c>
      <c r="N87" s="8" t="str">
        <f ca="1" t="shared" si="15"/>
        <v> </v>
      </c>
      <c r="O87" s="8" t="str">
        <f t="shared" si="9"/>
        <v> </v>
      </c>
      <c r="P87" s="8" t="s">
        <v>1540</v>
      </c>
      <c r="Q87" s="2" t="s">
        <v>733</v>
      </c>
      <c r="R87" s="3">
        <v>1180</v>
      </c>
      <c r="S87" s="2" t="s">
        <v>546</v>
      </c>
      <c r="T87" s="2" t="s">
        <v>734</v>
      </c>
      <c r="U87" s="2" t="s">
        <v>752</v>
      </c>
      <c r="V87" s="9">
        <v>13.6</v>
      </c>
      <c r="W87" s="5">
        <f t="shared" si="16"/>
        <v>0</v>
      </c>
      <c r="X87" s="6">
        <f t="shared" si="17"/>
        <v>0</v>
      </c>
    </row>
    <row r="88" spans="1:24" ht="12">
      <c r="A88" s="2" t="s">
        <v>1092</v>
      </c>
      <c r="B88" s="196" t="s">
        <v>1350</v>
      </c>
      <c r="C88" s="2" t="s">
        <v>1974</v>
      </c>
      <c r="D88" s="2" t="str">
        <f t="shared" si="11"/>
        <v>Jean-Claude DEBUSSCHE</v>
      </c>
      <c r="E88" s="2" t="str">
        <f t="shared" si="12"/>
        <v>DEBUSSCHE Jean-Claude</v>
      </c>
      <c r="F88" s="9">
        <v>21.6</v>
      </c>
      <c r="G88" s="9" t="s">
        <v>84</v>
      </c>
      <c r="H88" s="214">
        <v>706426</v>
      </c>
      <c r="I88" s="4" t="s">
        <v>1976</v>
      </c>
      <c r="J88" s="217" t="s">
        <v>1540</v>
      </c>
      <c r="K88" s="21">
        <v>20690</v>
      </c>
      <c r="L88" s="23">
        <f t="shared" si="13"/>
        <v>60</v>
      </c>
      <c r="M88" s="23">
        <f t="shared" si="14"/>
        <v>81.6</v>
      </c>
      <c r="N88" s="8" t="str">
        <f ca="1" t="shared" si="15"/>
        <v> </v>
      </c>
      <c r="O88" s="8" t="str">
        <f t="shared" si="9"/>
        <v> </v>
      </c>
      <c r="P88" s="8" t="s">
        <v>1540</v>
      </c>
      <c r="Q88" s="2" t="s">
        <v>4</v>
      </c>
      <c r="R88" s="3">
        <v>8300</v>
      </c>
      <c r="S88" s="2" t="s">
        <v>5</v>
      </c>
      <c r="T88" s="2"/>
      <c r="U88" s="2" t="s">
        <v>1975</v>
      </c>
      <c r="V88" s="9">
        <v>21.6</v>
      </c>
      <c r="W88" s="5">
        <f t="shared" si="16"/>
        <v>0</v>
      </c>
      <c r="X88" s="6">
        <f t="shared" si="17"/>
        <v>0</v>
      </c>
    </row>
    <row r="89" spans="1:24" ht="12">
      <c r="A89" s="2" t="s">
        <v>1092</v>
      </c>
      <c r="B89" s="196" t="s">
        <v>1146</v>
      </c>
      <c r="C89" s="2" t="s">
        <v>1519</v>
      </c>
      <c r="D89" s="2" t="str">
        <f t="shared" si="11"/>
        <v>Michel DECUYPERE </v>
      </c>
      <c r="E89" s="2" t="str">
        <f t="shared" si="12"/>
        <v>DECUYPERE  Michel</v>
      </c>
      <c r="F89" s="9">
        <v>24</v>
      </c>
      <c r="G89" s="9" t="s">
        <v>84</v>
      </c>
      <c r="H89" s="214">
        <v>254655</v>
      </c>
      <c r="I89" s="4" t="s">
        <v>1765</v>
      </c>
      <c r="J89" s="217"/>
      <c r="K89" s="21">
        <v>16922</v>
      </c>
      <c r="L89" s="23">
        <f t="shared" si="13"/>
        <v>71</v>
      </c>
      <c r="M89" s="23">
        <f t="shared" si="14"/>
        <v>95</v>
      </c>
      <c r="N89" s="8" t="str">
        <f ca="1" t="shared" si="15"/>
        <v> </v>
      </c>
      <c r="O89" s="8" t="str">
        <f t="shared" si="9"/>
        <v> </v>
      </c>
      <c r="P89" s="8" t="s">
        <v>1540</v>
      </c>
      <c r="Q89" s="2" t="s">
        <v>531</v>
      </c>
      <c r="R89" s="3">
        <v>1380</v>
      </c>
      <c r="S89" s="2" t="s">
        <v>644</v>
      </c>
      <c r="T89" s="2" t="s">
        <v>553</v>
      </c>
      <c r="U89" s="2" t="s">
        <v>554</v>
      </c>
      <c r="V89" s="9">
        <v>24</v>
      </c>
      <c r="W89" s="5">
        <f t="shared" si="16"/>
        <v>0</v>
      </c>
      <c r="X89" s="6">
        <f t="shared" si="17"/>
        <v>0</v>
      </c>
    </row>
    <row r="90" spans="1:24" ht="12">
      <c r="A90" s="2" t="s">
        <v>1092</v>
      </c>
      <c r="B90" s="196" t="s">
        <v>1254</v>
      </c>
      <c r="C90" s="2" t="s">
        <v>1520</v>
      </c>
      <c r="D90" s="2" t="str">
        <f t="shared" si="11"/>
        <v>Denis DEFOSSE </v>
      </c>
      <c r="E90" s="2" t="str">
        <f t="shared" si="12"/>
        <v>DEFOSSE  Denis</v>
      </c>
      <c r="F90" s="9">
        <v>18.2</v>
      </c>
      <c r="G90" s="9" t="s">
        <v>84</v>
      </c>
      <c r="H90" s="214">
        <v>226963</v>
      </c>
      <c r="I90" s="4" t="s">
        <v>920</v>
      </c>
      <c r="J90" s="217" t="s">
        <v>1540</v>
      </c>
      <c r="K90" s="21">
        <v>16071</v>
      </c>
      <c r="L90" s="23">
        <f t="shared" si="13"/>
        <v>73</v>
      </c>
      <c r="M90" s="23">
        <f t="shared" si="14"/>
        <v>91.2</v>
      </c>
      <c r="N90" s="8" t="str">
        <f ca="1" t="shared" si="15"/>
        <v> </v>
      </c>
      <c r="O90" s="8" t="str">
        <f t="shared" si="9"/>
        <v> </v>
      </c>
      <c r="P90" s="8" t="s">
        <v>1540</v>
      </c>
      <c r="Q90" s="2" t="s">
        <v>309</v>
      </c>
      <c r="R90" s="3">
        <v>1200</v>
      </c>
      <c r="S90" s="2" t="s">
        <v>546</v>
      </c>
      <c r="T90" s="2" t="s">
        <v>387</v>
      </c>
      <c r="U90" s="2" t="s">
        <v>388</v>
      </c>
      <c r="V90" s="9">
        <v>18.2</v>
      </c>
      <c r="W90" s="5">
        <f t="shared" si="16"/>
        <v>0</v>
      </c>
      <c r="X90" s="6">
        <f t="shared" si="17"/>
        <v>0</v>
      </c>
    </row>
    <row r="91" spans="1:24" ht="12">
      <c r="A91" s="2" t="s">
        <v>1093</v>
      </c>
      <c r="B91" s="196" t="s">
        <v>1376</v>
      </c>
      <c r="C91" s="2" t="s">
        <v>1528</v>
      </c>
      <c r="D91" s="2" t="str">
        <f t="shared" si="11"/>
        <v>Brigitte DELHAIZE</v>
      </c>
      <c r="E91" s="2" t="str">
        <f t="shared" si="12"/>
        <v>DELHAIZE Brigitte</v>
      </c>
      <c r="F91" s="9">
        <v>17.799999237060547</v>
      </c>
      <c r="G91" s="9" t="s">
        <v>83</v>
      </c>
      <c r="H91" s="214">
        <v>226993</v>
      </c>
      <c r="I91" s="4" t="s">
        <v>921</v>
      </c>
      <c r="J91" s="217" t="s">
        <v>1540</v>
      </c>
      <c r="K91" s="21">
        <v>16429</v>
      </c>
      <c r="L91" s="23">
        <f t="shared" si="13"/>
        <v>72</v>
      </c>
      <c r="M91" s="23">
        <f t="shared" si="14"/>
        <v>89.79999923706055</v>
      </c>
      <c r="N91" s="8" t="str">
        <f ca="1" t="shared" si="15"/>
        <v> </v>
      </c>
      <c r="O91" s="8" t="str">
        <f t="shared" si="9"/>
        <v> </v>
      </c>
      <c r="P91" s="8" t="s">
        <v>1540</v>
      </c>
      <c r="Q91" s="2" t="s">
        <v>466</v>
      </c>
      <c r="R91" s="3">
        <v>1380</v>
      </c>
      <c r="S91" s="2" t="s">
        <v>351</v>
      </c>
      <c r="T91" s="2" t="s">
        <v>604</v>
      </c>
      <c r="U91" s="2" t="s">
        <v>605</v>
      </c>
      <c r="V91" s="9">
        <v>17.799999237060547</v>
      </c>
      <c r="W91" s="5">
        <f t="shared" si="16"/>
        <v>0</v>
      </c>
      <c r="X91" s="6">
        <f t="shared" si="17"/>
        <v>0</v>
      </c>
    </row>
    <row r="92" spans="1:24" ht="12">
      <c r="A92" s="2" t="s">
        <v>1092</v>
      </c>
      <c r="B92" s="196" t="s">
        <v>1218</v>
      </c>
      <c r="C92" s="2" t="s">
        <v>1529</v>
      </c>
      <c r="D92" s="2" t="str">
        <f t="shared" si="11"/>
        <v>Jean DELHOVE</v>
      </c>
      <c r="E92" s="2" t="str">
        <f t="shared" si="12"/>
        <v>DELHOVE Jean</v>
      </c>
      <c r="F92" s="9">
        <v>27.9</v>
      </c>
      <c r="G92" s="9" t="s">
        <v>84</v>
      </c>
      <c r="H92" s="214">
        <v>226994</v>
      </c>
      <c r="I92" s="4" t="s">
        <v>922</v>
      </c>
      <c r="J92" s="217" t="s">
        <v>1540</v>
      </c>
      <c r="K92" s="21">
        <v>11584</v>
      </c>
      <c r="L92" s="23">
        <f t="shared" si="13"/>
        <v>85</v>
      </c>
      <c r="M92" s="23">
        <f t="shared" si="14"/>
        <v>112.9</v>
      </c>
      <c r="N92" s="8" t="str">
        <f ca="1" t="shared" si="15"/>
        <v> </v>
      </c>
      <c r="O92" s="8" t="str">
        <f aca="true" t="shared" si="18" ref="O92:O155">IF((IF(DAY(K92)=DAY(dc),1,0)+IF(MONTH(K92)=MONTH(dc),1,0))=2,"y"," ")</f>
        <v> </v>
      </c>
      <c r="P92" s="8" t="s">
        <v>1540</v>
      </c>
      <c r="Q92" s="2" t="s">
        <v>435</v>
      </c>
      <c r="R92" s="3">
        <v>1410</v>
      </c>
      <c r="S92" s="2" t="s">
        <v>534</v>
      </c>
      <c r="T92" s="2" t="s">
        <v>436</v>
      </c>
      <c r="U92" s="2" t="s">
        <v>503</v>
      </c>
      <c r="V92" s="9">
        <v>27.9</v>
      </c>
      <c r="W92" s="5">
        <f t="shared" si="16"/>
        <v>0</v>
      </c>
      <c r="X92" s="6">
        <f t="shared" si="17"/>
        <v>0</v>
      </c>
    </row>
    <row r="93" spans="1:24" ht="12">
      <c r="A93" s="2" t="s">
        <v>1092</v>
      </c>
      <c r="B93" s="196" t="s">
        <v>1224</v>
      </c>
      <c r="C93" s="2" t="s">
        <v>1793</v>
      </c>
      <c r="D93" s="2" t="str">
        <f t="shared" si="11"/>
        <v>Jean Pierre DEMBOUR</v>
      </c>
      <c r="E93" s="2" t="str">
        <f t="shared" si="12"/>
        <v>DEMBOUR Jean Pierre</v>
      </c>
      <c r="F93" s="9">
        <v>29.2</v>
      </c>
      <c r="G93" s="9" t="s">
        <v>84</v>
      </c>
      <c r="H93" s="214">
        <v>708312</v>
      </c>
      <c r="I93" s="4" t="s">
        <v>1924</v>
      </c>
      <c r="J93" s="217" t="s">
        <v>1540</v>
      </c>
      <c r="K93" s="21">
        <v>17199</v>
      </c>
      <c r="L93" s="23">
        <f t="shared" si="13"/>
        <v>70</v>
      </c>
      <c r="M93" s="23">
        <f t="shared" si="14"/>
        <v>99.2</v>
      </c>
      <c r="N93" s="8" t="str">
        <f ca="1" t="shared" si="15"/>
        <v> </v>
      </c>
      <c r="O93" s="8" t="str">
        <f t="shared" si="18"/>
        <v> </v>
      </c>
      <c r="P93" s="8" t="s">
        <v>1540</v>
      </c>
      <c r="Q93" s="2" t="s">
        <v>1821</v>
      </c>
      <c r="R93" s="3">
        <v>1170</v>
      </c>
      <c r="S93" s="2" t="s">
        <v>546</v>
      </c>
      <c r="T93" s="2"/>
      <c r="U93" s="2" t="s">
        <v>1822</v>
      </c>
      <c r="V93" s="9">
        <v>29.2</v>
      </c>
      <c r="W93" s="5">
        <f t="shared" si="16"/>
        <v>0</v>
      </c>
      <c r="X93" s="6">
        <f t="shared" si="17"/>
        <v>0</v>
      </c>
    </row>
    <row r="94" spans="1:24" ht="12">
      <c r="A94" s="2" t="s">
        <v>1093</v>
      </c>
      <c r="B94" s="196" t="s">
        <v>1199</v>
      </c>
      <c r="C94" s="2" t="s">
        <v>1521</v>
      </c>
      <c r="D94" s="2" t="str">
        <f t="shared" si="11"/>
        <v>Christiane DENIS </v>
      </c>
      <c r="E94" s="2" t="str">
        <f t="shared" si="12"/>
        <v>DENIS  Christiane</v>
      </c>
      <c r="F94" s="9">
        <v>36</v>
      </c>
      <c r="G94" s="9" t="s">
        <v>84</v>
      </c>
      <c r="H94" s="214">
        <v>703035</v>
      </c>
      <c r="I94" s="4" t="s">
        <v>923</v>
      </c>
      <c r="J94" s="217" t="s">
        <v>1540</v>
      </c>
      <c r="K94" s="21">
        <v>13582</v>
      </c>
      <c r="L94" s="23">
        <f t="shared" si="13"/>
        <v>80</v>
      </c>
      <c r="M94" s="23">
        <f t="shared" si="14"/>
        <v>116</v>
      </c>
      <c r="N94" s="8" t="str">
        <f ca="1" t="shared" si="15"/>
        <v> </v>
      </c>
      <c r="O94" s="8" t="str">
        <f t="shared" si="18"/>
        <v> </v>
      </c>
      <c r="P94" s="8" t="s">
        <v>1540</v>
      </c>
      <c r="Q94" s="2" t="s">
        <v>102</v>
      </c>
      <c r="R94" s="3">
        <v>1150</v>
      </c>
      <c r="S94" s="2" t="s">
        <v>546</v>
      </c>
      <c r="T94" s="2" t="s">
        <v>441</v>
      </c>
      <c r="U94" s="2" t="s">
        <v>720</v>
      </c>
      <c r="V94" s="9">
        <v>36</v>
      </c>
      <c r="W94" s="5">
        <f t="shared" si="16"/>
        <v>0</v>
      </c>
      <c r="X94" s="6">
        <f t="shared" si="17"/>
        <v>0</v>
      </c>
    </row>
    <row r="95" spans="1:24" ht="12">
      <c r="A95" s="2" t="s">
        <v>1092</v>
      </c>
      <c r="B95" s="196" t="s">
        <v>1255</v>
      </c>
      <c r="C95" s="2" t="s">
        <v>1530</v>
      </c>
      <c r="D95" s="2" t="str">
        <f t="shared" si="11"/>
        <v>Christian DEPREZ</v>
      </c>
      <c r="E95" s="2" t="str">
        <f t="shared" si="12"/>
        <v>DEPREZ Christian</v>
      </c>
      <c r="F95" s="9">
        <v>25.1</v>
      </c>
      <c r="G95" s="9" t="s">
        <v>84</v>
      </c>
      <c r="H95" s="214">
        <v>227022</v>
      </c>
      <c r="I95" s="4" t="s">
        <v>1751</v>
      </c>
      <c r="J95" s="217" t="s">
        <v>1540</v>
      </c>
      <c r="K95" s="21">
        <v>15276</v>
      </c>
      <c r="L95" s="23">
        <f t="shared" si="13"/>
        <v>75</v>
      </c>
      <c r="M95" s="23">
        <f t="shared" si="14"/>
        <v>100.1</v>
      </c>
      <c r="N95" s="8" t="str">
        <f ca="1" t="shared" si="15"/>
        <v> </v>
      </c>
      <c r="O95" s="8" t="str">
        <f t="shared" si="18"/>
        <v> </v>
      </c>
      <c r="P95" s="8" t="s">
        <v>1540</v>
      </c>
      <c r="Q95" s="2" t="s">
        <v>338</v>
      </c>
      <c r="R95" s="3">
        <v>1410</v>
      </c>
      <c r="S95" s="2" t="s">
        <v>534</v>
      </c>
      <c r="T95" s="2" t="s">
        <v>339</v>
      </c>
      <c r="U95" s="2" t="s">
        <v>178</v>
      </c>
      <c r="V95" s="9">
        <v>25.1</v>
      </c>
      <c r="W95" s="5">
        <f t="shared" si="16"/>
        <v>0</v>
      </c>
      <c r="X95" s="6">
        <f t="shared" si="17"/>
        <v>0</v>
      </c>
    </row>
    <row r="96" spans="1:24" ht="12">
      <c r="A96" s="2" t="s">
        <v>1093</v>
      </c>
      <c r="B96" s="196" t="s">
        <v>1256</v>
      </c>
      <c r="C96" s="2" t="s">
        <v>1522</v>
      </c>
      <c r="D96" s="2" t="str">
        <f t="shared" si="11"/>
        <v>Joëlle DEPREZ </v>
      </c>
      <c r="E96" s="2" t="str">
        <f t="shared" si="12"/>
        <v>DEPREZ  Joëlle</v>
      </c>
      <c r="F96" s="9">
        <v>17.5</v>
      </c>
      <c r="G96" s="9" t="s">
        <v>84</v>
      </c>
      <c r="H96" s="214">
        <v>227054</v>
      </c>
      <c r="I96" s="4" t="s">
        <v>924</v>
      </c>
      <c r="J96" s="217" t="s">
        <v>1540</v>
      </c>
      <c r="K96" s="21">
        <v>22117</v>
      </c>
      <c r="L96" s="23">
        <f t="shared" si="13"/>
        <v>56</v>
      </c>
      <c r="M96" s="23">
        <f t="shared" si="14"/>
        <v>73.5</v>
      </c>
      <c r="N96" s="8" t="str">
        <f ca="1" t="shared" si="15"/>
        <v> </v>
      </c>
      <c r="O96" s="8" t="str">
        <f t="shared" si="18"/>
        <v> </v>
      </c>
      <c r="P96" s="8" t="s">
        <v>1540</v>
      </c>
      <c r="Q96" s="2" t="s">
        <v>338</v>
      </c>
      <c r="R96" s="3">
        <v>1410</v>
      </c>
      <c r="S96" s="2" t="s">
        <v>534</v>
      </c>
      <c r="T96" s="2" t="s">
        <v>339</v>
      </c>
      <c r="U96" s="2" t="s">
        <v>536</v>
      </c>
      <c r="V96" s="9">
        <v>17.5</v>
      </c>
      <c r="W96" s="5">
        <f t="shared" si="16"/>
        <v>0</v>
      </c>
      <c r="X96" s="6">
        <f t="shared" si="17"/>
        <v>0</v>
      </c>
    </row>
    <row r="97" spans="1:24" ht="12">
      <c r="A97" s="2" t="s">
        <v>1093</v>
      </c>
      <c r="B97" s="196" t="s">
        <v>1257</v>
      </c>
      <c r="C97" s="2" t="s">
        <v>1523</v>
      </c>
      <c r="D97" s="2" t="str">
        <f t="shared" si="11"/>
        <v>Josette DERYCKE</v>
      </c>
      <c r="E97" s="2" t="str">
        <f t="shared" si="12"/>
        <v>DERYCKE Josette</v>
      </c>
      <c r="F97" s="9">
        <v>27.4</v>
      </c>
      <c r="G97" s="9" t="s">
        <v>83</v>
      </c>
      <c r="H97" s="214">
        <v>227033</v>
      </c>
      <c r="I97" s="4" t="s">
        <v>925</v>
      </c>
      <c r="J97" s="217" t="s">
        <v>1540</v>
      </c>
      <c r="K97" s="21">
        <v>14574</v>
      </c>
      <c r="L97" s="23">
        <f t="shared" si="13"/>
        <v>77</v>
      </c>
      <c r="M97" s="23">
        <f t="shared" si="14"/>
        <v>104.4</v>
      </c>
      <c r="N97" s="8" t="str">
        <f ca="1" t="shared" si="15"/>
        <v> </v>
      </c>
      <c r="O97" s="8" t="str">
        <f t="shared" si="18"/>
        <v> </v>
      </c>
      <c r="P97" s="8" t="s">
        <v>1540</v>
      </c>
      <c r="Q97" s="2" t="s">
        <v>6</v>
      </c>
      <c r="R97" s="3">
        <v>1050</v>
      </c>
      <c r="S97" s="2" t="s">
        <v>546</v>
      </c>
      <c r="T97" s="2" t="s">
        <v>430</v>
      </c>
      <c r="U97" s="2" t="s">
        <v>451</v>
      </c>
      <c r="V97" s="9">
        <v>27.4</v>
      </c>
      <c r="W97" s="5">
        <f t="shared" si="16"/>
        <v>0</v>
      </c>
      <c r="X97" s="6">
        <f t="shared" si="17"/>
        <v>0</v>
      </c>
    </row>
    <row r="98" spans="1:24" ht="12">
      <c r="A98" s="2" t="s">
        <v>1093</v>
      </c>
      <c r="B98" s="196" t="s">
        <v>1258</v>
      </c>
      <c r="C98" s="2" t="s">
        <v>1524</v>
      </c>
      <c r="D98" s="2" t="str">
        <f t="shared" si="11"/>
        <v>Diane DEVREKER</v>
      </c>
      <c r="E98" s="2" t="str">
        <f t="shared" si="12"/>
        <v>DEVREKER Diane</v>
      </c>
      <c r="F98" s="9">
        <v>15.3</v>
      </c>
      <c r="G98" s="9" t="s">
        <v>84</v>
      </c>
      <c r="H98" s="214">
        <v>227059</v>
      </c>
      <c r="I98" s="4" t="s">
        <v>99</v>
      </c>
      <c r="J98" s="217"/>
      <c r="K98" s="21">
        <v>16349</v>
      </c>
      <c r="L98" s="23">
        <f t="shared" si="13"/>
        <v>72</v>
      </c>
      <c r="M98" s="23">
        <f aca="true" t="shared" si="19" ref="M98:M128">L98+F98</f>
        <v>87.3</v>
      </c>
      <c r="N98" s="8" t="str">
        <f ca="1" t="shared" si="15"/>
        <v> </v>
      </c>
      <c r="O98" s="8" t="str">
        <f t="shared" si="18"/>
        <v> </v>
      </c>
      <c r="P98" s="8"/>
      <c r="Q98" s="2" t="s">
        <v>310</v>
      </c>
      <c r="R98" s="3">
        <v>1653</v>
      </c>
      <c r="S98" s="2" t="s">
        <v>684</v>
      </c>
      <c r="T98" s="2" t="s">
        <v>636</v>
      </c>
      <c r="U98" s="2" t="s">
        <v>685</v>
      </c>
      <c r="V98" s="9">
        <v>15.3</v>
      </c>
      <c r="W98" s="5">
        <f t="shared" si="16"/>
        <v>0</v>
      </c>
      <c r="X98" s="6">
        <f t="shared" si="17"/>
        <v>0</v>
      </c>
    </row>
    <row r="99" spans="1:24" ht="12">
      <c r="A99" s="2" t="s">
        <v>1092</v>
      </c>
      <c r="B99" s="196" t="s">
        <v>1165</v>
      </c>
      <c r="C99" s="2" t="s">
        <v>1971</v>
      </c>
      <c r="D99" s="2" t="str">
        <f t="shared" si="11"/>
        <v>Chantal DEVRIENDT</v>
      </c>
      <c r="E99" s="2" t="str">
        <f t="shared" si="12"/>
        <v>DEVRIENDT Chantal</v>
      </c>
      <c r="F99" s="9">
        <v>21.6</v>
      </c>
      <c r="G99" s="9" t="s">
        <v>84</v>
      </c>
      <c r="H99" s="214">
        <v>206700</v>
      </c>
      <c r="I99" s="4" t="s">
        <v>1977</v>
      </c>
      <c r="J99" s="217" t="s">
        <v>1540</v>
      </c>
      <c r="K99" s="21">
        <v>20766</v>
      </c>
      <c r="L99" s="23">
        <f t="shared" si="13"/>
        <v>60</v>
      </c>
      <c r="M99" s="23">
        <f t="shared" si="19"/>
        <v>81.6</v>
      </c>
      <c r="N99" s="8" t="str">
        <f ca="1" t="shared" si="15"/>
        <v> </v>
      </c>
      <c r="O99" s="8" t="str">
        <f t="shared" si="18"/>
        <v> </v>
      </c>
      <c r="P99" s="8" t="s">
        <v>1540</v>
      </c>
      <c r="Q99" s="2" t="s">
        <v>4</v>
      </c>
      <c r="R99" s="3">
        <v>8300</v>
      </c>
      <c r="S99" s="2" t="s">
        <v>5</v>
      </c>
      <c r="T99" s="2"/>
      <c r="U99" s="2" t="s">
        <v>1973</v>
      </c>
      <c r="V99" s="9">
        <v>21.6</v>
      </c>
      <c r="W99" s="5">
        <f t="shared" si="16"/>
        <v>0</v>
      </c>
      <c r="X99" s="6">
        <f t="shared" si="17"/>
        <v>0</v>
      </c>
    </row>
    <row r="100" spans="1:24" ht="12">
      <c r="A100" s="2" t="s">
        <v>1092</v>
      </c>
      <c r="B100" s="196" t="s">
        <v>1146</v>
      </c>
      <c r="C100" s="2" t="s">
        <v>1788</v>
      </c>
      <c r="D100" s="2" t="str">
        <f t="shared" si="11"/>
        <v>Michel DEWAERSEGGER</v>
      </c>
      <c r="E100" s="2" t="str">
        <f t="shared" si="12"/>
        <v>DEWAERSEGGER Michel</v>
      </c>
      <c r="F100" s="9">
        <v>36</v>
      </c>
      <c r="G100" s="9" t="s">
        <v>84</v>
      </c>
      <c r="H100" s="214">
        <v>227060</v>
      </c>
      <c r="I100" s="4" t="s">
        <v>1008</v>
      </c>
      <c r="J100" s="217" t="s">
        <v>1540</v>
      </c>
      <c r="K100" s="21">
        <v>16171</v>
      </c>
      <c r="L100" s="23">
        <f t="shared" si="13"/>
        <v>73</v>
      </c>
      <c r="M100" s="23">
        <f t="shared" si="19"/>
        <v>109</v>
      </c>
      <c r="N100" s="8" t="str">
        <f ca="1" t="shared" si="15"/>
        <v> </v>
      </c>
      <c r="O100" s="8" t="str">
        <f t="shared" si="18"/>
        <v> </v>
      </c>
      <c r="P100" s="8"/>
      <c r="Q100" s="2" t="s">
        <v>1789</v>
      </c>
      <c r="R100" s="3">
        <v>1640</v>
      </c>
      <c r="S100" s="2" t="s">
        <v>345</v>
      </c>
      <c r="T100" s="2" t="s">
        <v>1790</v>
      </c>
      <c r="U100" s="2" t="s">
        <v>1791</v>
      </c>
      <c r="V100" s="9">
        <v>36</v>
      </c>
      <c r="W100" s="5">
        <f t="shared" si="16"/>
        <v>0</v>
      </c>
      <c r="X100" s="6">
        <f t="shared" si="17"/>
        <v>0</v>
      </c>
    </row>
    <row r="101" spans="1:24" ht="12">
      <c r="A101" s="2" t="s">
        <v>1092</v>
      </c>
      <c r="B101" s="196" t="s">
        <v>1259</v>
      </c>
      <c r="C101" s="2" t="s">
        <v>1531</v>
      </c>
      <c r="D101" s="2" t="str">
        <f t="shared" si="11"/>
        <v>Tony DEWAVRIN </v>
      </c>
      <c r="E101" s="2" t="str">
        <f t="shared" si="12"/>
        <v>DEWAVRIN  Tony</v>
      </c>
      <c r="F101" s="9">
        <v>13.1</v>
      </c>
      <c r="G101" s="9" t="s">
        <v>84</v>
      </c>
      <c r="H101" s="214">
        <v>227065</v>
      </c>
      <c r="I101" s="4" t="s">
        <v>926</v>
      </c>
      <c r="J101" s="217"/>
      <c r="K101" s="21">
        <v>16600</v>
      </c>
      <c r="L101" s="23">
        <f t="shared" si="13"/>
        <v>72</v>
      </c>
      <c r="M101" s="23">
        <f t="shared" si="19"/>
        <v>85.1</v>
      </c>
      <c r="N101" s="8" t="str">
        <f ca="1" t="shared" si="15"/>
        <v> </v>
      </c>
      <c r="O101" s="8" t="str">
        <f t="shared" si="18"/>
        <v> </v>
      </c>
      <c r="P101" s="8"/>
      <c r="Q101" s="2" t="s">
        <v>1972</v>
      </c>
      <c r="R101" s="3">
        <v>1780</v>
      </c>
      <c r="S101" s="2" t="s">
        <v>350</v>
      </c>
      <c r="T101" s="2"/>
      <c r="U101" s="2" t="s">
        <v>1975</v>
      </c>
      <c r="V101" s="9">
        <v>13.1</v>
      </c>
      <c r="W101" s="5">
        <f t="shared" si="16"/>
        <v>0</v>
      </c>
      <c r="X101" s="6">
        <f t="shared" si="17"/>
        <v>0</v>
      </c>
    </row>
    <row r="102" spans="1:24" ht="12">
      <c r="A102" s="2" t="s">
        <v>1093</v>
      </c>
      <c r="B102" s="196" t="s">
        <v>1527</v>
      </c>
      <c r="C102" s="2" t="s">
        <v>1525</v>
      </c>
      <c r="D102" s="2" t="str">
        <f t="shared" si="11"/>
        <v>Mylène DEWIT </v>
      </c>
      <c r="E102" s="2" t="str">
        <f t="shared" si="12"/>
        <v>DEWIT  Mylène</v>
      </c>
      <c r="F102" s="9">
        <v>11.1</v>
      </c>
      <c r="G102" s="9" t="s">
        <v>84</v>
      </c>
      <c r="H102" s="214">
        <v>227069</v>
      </c>
      <c r="I102" s="4" t="s">
        <v>927</v>
      </c>
      <c r="J102" s="217" t="s">
        <v>1540</v>
      </c>
      <c r="K102" s="21">
        <v>22581</v>
      </c>
      <c r="L102" s="23">
        <f t="shared" si="13"/>
        <v>55</v>
      </c>
      <c r="M102" s="23">
        <f t="shared" si="19"/>
        <v>66.1</v>
      </c>
      <c r="N102" s="8" t="str">
        <f ca="1" t="shared" si="15"/>
        <v> </v>
      </c>
      <c r="O102" s="8" t="str">
        <f t="shared" si="18"/>
        <v> </v>
      </c>
      <c r="P102" s="8" t="s">
        <v>1540</v>
      </c>
      <c r="Q102" s="2" t="s">
        <v>136</v>
      </c>
      <c r="R102" s="3">
        <v>1390</v>
      </c>
      <c r="S102" s="2" t="s">
        <v>541</v>
      </c>
      <c r="T102" s="2" t="s">
        <v>516</v>
      </c>
      <c r="U102" s="2" t="s">
        <v>517</v>
      </c>
      <c r="V102" s="9">
        <v>11.1</v>
      </c>
      <c r="W102" s="5">
        <f t="shared" si="16"/>
        <v>0</v>
      </c>
      <c r="X102" s="6">
        <f t="shared" si="17"/>
        <v>0</v>
      </c>
    </row>
    <row r="103" spans="1:24" ht="12">
      <c r="A103" s="2" t="s">
        <v>1093</v>
      </c>
      <c r="B103" s="196" t="s">
        <v>1260</v>
      </c>
      <c r="C103" s="2" t="s">
        <v>1532</v>
      </c>
      <c r="D103" s="2" t="str">
        <f t="shared" si="11"/>
        <v>Paulette DHERTE</v>
      </c>
      <c r="E103" s="2" t="str">
        <f t="shared" si="12"/>
        <v>DHERTE Paulette</v>
      </c>
      <c r="F103" s="9">
        <v>36</v>
      </c>
      <c r="G103" s="9" t="s">
        <v>83</v>
      </c>
      <c r="H103" s="214">
        <v>227070</v>
      </c>
      <c r="I103" s="4" t="s">
        <v>928</v>
      </c>
      <c r="J103" s="217" t="s">
        <v>1540</v>
      </c>
      <c r="K103" s="21">
        <v>13977</v>
      </c>
      <c r="L103" s="23">
        <f t="shared" si="13"/>
        <v>79</v>
      </c>
      <c r="M103" s="23">
        <f t="shared" si="19"/>
        <v>115</v>
      </c>
      <c r="N103" s="8" t="str">
        <f ca="1" t="shared" si="15"/>
        <v> </v>
      </c>
      <c r="O103" s="8" t="str">
        <f t="shared" si="18"/>
        <v> </v>
      </c>
      <c r="P103" s="8"/>
      <c r="Q103" s="2" t="s">
        <v>311</v>
      </c>
      <c r="R103" s="3">
        <v>1180</v>
      </c>
      <c r="S103" s="2" t="s">
        <v>546</v>
      </c>
      <c r="T103" s="2" t="s">
        <v>571</v>
      </c>
      <c r="U103" s="2" t="s">
        <v>410</v>
      </c>
      <c r="V103" s="9">
        <v>36</v>
      </c>
      <c r="W103" s="5">
        <f t="shared" si="16"/>
        <v>0</v>
      </c>
      <c r="X103" s="6">
        <f t="shared" si="17"/>
        <v>0</v>
      </c>
    </row>
    <row r="104" spans="1:24" ht="12">
      <c r="A104" s="2" t="s">
        <v>1092</v>
      </c>
      <c r="B104" s="196" t="s">
        <v>1228</v>
      </c>
      <c r="C104" s="2" t="s">
        <v>1533</v>
      </c>
      <c r="D104" s="2" t="str">
        <f t="shared" si="11"/>
        <v>François DIERCKX</v>
      </c>
      <c r="E104" s="2" t="str">
        <f t="shared" si="12"/>
        <v>DIERCKX François</v>
      </c>
      <c r="F104" s="9">
        <v>32.3</v>
      </c>
      <c r="G104" s="9" t="s">
        <v>84</v>
      </c>
      <c r="H104" s="214">
        <v>703151</v>
      </c>
      <c r="I104" s="4" t="s">
        <v>929</v>
      </c>
      <c r="J104" s="217" t="s">
        <v>1540</v>
      </c>
      <c r="K104" s="21">
        <v>13856</v>
      </c>
      <c r="L104" s="23">
        <f t="shared" si="13"/>
        <v>79</v>
      </c>
      <c r="M104" s="23">
        <f t="shared" si="19"/>
        <v>111.3</v>
      </c>
      <c r="N104" s="8" t="str">
        <f ca="1" t="shared" si="15"/>
        <v> </v>
      </c>
      <c r="O104" s="8" t="str">
        <f t="shared" si="18"/>
        <v> </v>
      </c>
      <c r="P104" s="8"/>
      <c r="Q104" s="2" t="s">
        <v>1920</v>
      </c>
      <c r="R104" s="3">
        <v>1428</v>
      </c>
      <c r="S104" s="2" t="s">
        <v>535</v>
      </c>
      <c r="T104" s="2" t="s">
        <v>1921</v>
      </c>
      <c r="U104" s="2" t="s">
        <v>572</v>
      </c>
      <c r="V104" s="9">
        <v>32.3</v>
      </c>
      <c r="W104" s="5">
        <f t="shared" si="16"/>
        <v>0</v>
      </c>
      <c r="X104" s="6">
        <f t="shared" si="17"/>
        <v>0</v>
      </c>
    </row>
    <row r="105" spans="1:24" ht="12">
      <c r="A105" s="2" t="s">
        <v>1093</v>
      </c>
      <c r="B105" s="196" t="s">
        <v>1261</v>
      </c>
      <c r="C105" s="2" t="s">
        <v>1533</v>
      </c>
      <c r="D105" s="2" t="str">
        <f t="shared" si="11"/>
        <v>Ghislaine DIERCKX</v>
      </c>
      <c r="E105" s="2" t="str">
        <f t="shared" si="12"/>
        <v>DIERCKX Ghislaine</v>
      </c>
      <c r="F105" s="9">
        <v>26.7</v>
      </c>
      <c r="G105" s="9" t="s">
        <v>84</v>
      </c>
      <c r="H105" s="214">
        <v>703150</v>
      </c>
      <c r="I105" s="4" t="s">
        <v>930</v>
      </c>
      <c r="J105" s="217" t="s">
        <v>1540</v>
      </c>
      <c r="K105" s="21">
        <v>13688</v>
      </c>
      <c r="L105" s="23">
        <f t="shared" si="13"/>
        <v>79</v>
      </c>
      <c r="M105" s="23">
        <f t="shared" si="19"/>
        <v>105.7</v>
      </c>
      <c r="N105" s="8" t="str">
        <f ca="1" t="shared" si="15"/>
        <v> </v>
      </c>
      <c r="O105" s="8" t="str">
        <f t="shared" si="18"/>
        <v> </v>
      </c>
      <c r="P105" s="8" t="s">
        <v>1540</v>
      </c>
      <c r="Q105" s="2" t="s">
        <v>1920</v>
      </c>
      <c r="R105" s="3">
        <v>1428</v>
      </c>
      <c r="S105" s="2" t="s">
        <v>535</v>
      </c>
      <c r="T105" s="2" t="s">
        <v>1921</v>
      </c>
      <c r="U105" s="2" t="s">
        <v>668</v>
      </c>
      <c r="V105" s="9">
        <v>26.7</v>
      </c>
      <c r="W105" s="5">
        <f t="shared" si="16"/>
        <v>0</v>
      </c>
      <c r="X105" s="6">
        <f t="shared" si="17"/>
        <v>0</v>
      </c>
    </row>
    <row r="106" spans="1:24" ht="12">
      <c r="A106" s="2" t="s">
        <v>1093</v>
      </c>
      <c r="B106" s="196" t="s">
        <v>1262</v>
      </c>
      <c r="C106" s="2" t="s">
        <v>1526</v>
      </c>
      <c r="D106" s="2" t="str">
        <f t="shared" si="11"/>
        <v>Marilena DIMAS </v>
      </c>
      <c r="E106" s="2" t="str">
        <f t="shared" si="12"/>
        <v>DIMAS  Marilena</v>
      </c>
      <c r="F106" s="9">
        <v>29</v>
      </c>
      <c r="G106" s="9" t="s">
        <v>83</v>
      </c>
      <c r="H106" s="214">
        <v>227079</v>
      </c>
      <c r="I106" s="4" t="s">
        <v>931</v>
      </c>
      <c r="J106" s="217" t="s">
        <v>1540</v>
      </c>
      <c r="K106" s="21">
        <v>14458</v>
      </c>
      <c r="L106" s="23">
        <f t="shared" si="13"/>
        <v>77</v>
      </c>
      <c r="M106" s="23">
        <f t="shared" si="19"/>
        <v>106</v>
      </c>
      <c r="N106" s="8" t="str">
        <f ca="1" t="shared" si="15"/>
        <v> </v>
      </c>
      <c r="O106" s="8" t="str">
        <f t="shared" si="18"/>
        <v> </v>
      </c>
      <c r="P106" s="8" t="s">
        <v>1540</v>
      </c>
      <c r="Q106" s="2" t="s">
        <v>312</v>
      </c>
      <c r="R106" s="3">
        <v>1420</v>
      </c>
      <c r="S106" s="2" t="s">
        <v>535</v>
      </c>
      <c r="T106" s="2" t="s">
        <v>377</v>
      </c>
      <c r="U106" s="2" t="s">
        <v>452</v>
      </c>
      <c r="V106" s="9">
        <v>29</v>
      </c>
      <c r="W106" s="5">
        <f t="shared" si="16"/>
        <v>0</v>
      </c>
      <c r="X106" s="6">
        <f t="shared" si="17"/>
        <v>0</v>
      </c>
    </row>
    <row r="107" spans="1:24" ht="12">
      <c r="A107" s="2" t="s">
        <v>1093</v>
      </c>
      <c r="B107" s="196" t="s">
        <v>1263</v>
      </c>
      <c r="C107" s="2" t="s">
        <v>1280</v>
      </c>
      <c r="D107" s="2" t="str">
        <f t="shared" si="11"/>
        <v>Claire d'OREYE de LANTREMANGE</v>
      </c>
      <c r="E107" s="2" t="str">
        <f t="shared" si="12"/>
        <v>d'OREYE de LANTREMANGE Claire</v>
      </c>
      <c r="F107" s="9">
        <v>36</v>
      </c>
      <c r="G107" s="9" t="s">
        <v>83</v>
      </c>
      <c r="H107" s="214">
        <v>227082</v>
      </c>
      <c r="I107" s="4" t="s">
        <v>932</v>
      </c>
      <c r="J107" s="217"/>
      <c r="K107" s="21">
        <v>11868</v>
      </c>
      <c r="L107" s="23">
        <f t="shared" si="13"/>
        <v>84</v>
      </c>
      <c r="M107" s="23">
        <f t="shared" si="19"/>
        <v>120</v>
      </c>
      <c r="N107" s="8" t="str">
        <f ca="1" t="shared" si="15"/>
        <v> </v>
      </c>
      <c r="O107" s="8" t="str">
        <f t="shared" si="18"/>
        <v> </v>
      </c>
      <c r="P107" s="8"/>
      <c r="Q107" s="2" t="s">
        <v>313</v>
      </c>
      <c r="R107" s="3">
        <v>1380</v>
      </c>
      <c r="S107" s="2" t="s">
        <v>351</v>
      </c>
      <c r="T107" s="2" t="s">
        <v>449</v>
      </c>
      <c r="U107" s="2"/>
      <c r="V107" s="9">
        <v>36</v>
      </c>
      <c r="W107" s="5">
        <f t="shared" si="16"/>
        <v>0</v>
      </c>
      <c r="X107" s="6">
        <f t="shared" si="17"/>
        <v>0</v>
      </c>
    </row>
    <row r="108" spans="1:24" ht="12">
      <c r="A108" s="2" t="s">
        <v>1092</v>
      </c>
      <c r="B108" s="196" t="s">
        <v>1221</v>
      </c>
      <c r="C108" s="2" t="s">
        <v>1774</v>
      </c>
      <c r="D108" s="2" t="str">
        <f t="shared" si="11"/>
        <v>Robert DRAPER</v>
      </c>
      <c r="E108" s="2" t="str">
        <f t="shared" si="12"/>
        <v>DRAPER Robert</v>
      </c>
      <c r="F108" s="9">
        <v>16.8</v>
      </c>
      <c r="G108" s="9" t="s">
        <v>84</v>
      </c>
      <c r="H108" s="214">
        <v>227085</v>
      </c>
      <c r="I108" s="4" t="s">
        <v>1818</v>
      </c>
      <c r="J108" s="217" t="s">
        <v>1540</v>
      </c>
      <c r="K108" s="21">
        <v>15832</v>
      </c>
      <c r="L108" s="23">
        <f t="shared" si="13"/>
        <v>74</v>
      </c>
      <c r="M108" s="23">
        <f t="shared" si="19"/>
        <v>90.8</v>
      </c>
      <c r="N108" s="8" t="str">
        <f ca="1" t="shared" si="15"/>
        <v> </v>
      </c>
      <c r="O108" s="8" t="str">
        <f t="shared" si="18"/>
        <v> </v>
      </c>
      <c r="P108" s="8" t="s">
        <v>1540</v>
      </c>
      <c r="Q108" s="2" t="s">
        <v>1819</v>
      </c>
      <c r="R108" s="3">
        <v>1640</v>
      </c>
      <c r="S108" s="2" t="s">
        <v>345</v>
      </c>
      <c r="T108" s="2"/>
      <c r="U108" s="2" t="s">
        <v>1820</v>
      </c>
      <c r="V108" s="9">
        <v>16.8</v>
      </c>
      <c r="W108" s="5">
        <f t="shared" si="16"/>
        <v>0</v>
      </c>
      <c r="X108" s="6">
        <f t="shared" si="17"/>
        <v>0</v>
      </c>
    </row>
    <row r="109" spans="1:24" ht="12">
      <c r="A109" s="2" t="s">
        <v>1093</v>
      </c>
      <c r="B109" s="196" t="s">
        <v>1265</v>
      </c>
      <c r="C109" s="2" t="s">
        <v>1281</v>
      </c>
      <c r="D109" s="2" t="str">
        <f t="shared" si="11"/>
        <v>Ines DRORY </v>
      </c>
      <c r="E109" s="2" t="str">
        <f t="shared" si="12"/>
        <v>DRORY  Ines</v>
      </c>
      <c r="F109" s="9">
        <v>21.3</v>
      </c>
      <c r="G109" s="9" t="s">
        <v>83</v>
      </c>
      <c r="H109" s="214">
        <v>227089</v>
      </c>
      <c r="I109" s="4" t="s">
        <v>933</v>
      </c>
      <c r="J109" s="217" t="s">
        <v>1540</v>
      </c>
      <c r="K109" s="21">
        <v>14461</v>
      </c>
      <c r="L109" s="23">
        <f t="shared" si="13"/>
        <v>77</v>
      </c>
      <c r="M109" s="23">
        <f t="shared" si="19"/>
        <v>98.3</v>
      </c>
      <c r="N109" s="8" t="str">
        <f ca="1" t="shared" si="15"/>
        <v> </v>
      </c>
      <c r="O109" s="8" t="str">
        <f t="shared" si="18"/>
        <v> </v>
      </c>
      <c r="P109" s="8" t="s">
        <v>1540</v>
      </c>
      <c r="Q109" s="2" t="s">
        <v>314</v>
      </c>
      <c r="R109" s="3">
        <v>1640</v>
      </c>
      <c r="S109" s="2" t="s">
        <v>345</v>
      </c>
      <c r="T109" s="2" t="s">
        <v>418</v>
      </c>
      <c r="U109" s="2" t="s">
        <v>493</v>
      </c>
      <c r="V109" s="9">
        <v>21.3</v>
      </c>
      <c r="W109" s="5">
        <f t="shared" si="16"/>
        <v>0</v>
      </c>
      <c r="X109" s="6">
        <f t="shared" si="17"/>
        <v>0</v>
      </c>
    </row>
    <row r="110" spans="1:24" ht="12">
      <c r="A110" s="2" t="s">
        <v>1092</v>
      </c>
      <c r="B110" s="196" t="s">
        <v>1150</v>
      </c>
      <c r="C110" s="2" t="s">
        <v>1282</v>
      </c>
      <c r="D110" s="2" t="str">
        <f t="shared" si="11"/>
        <v>Eric DUBOIS</v>
      </c>
      <c r="E110" s="2" t="str">
        <f t="shared" si="12"/>
        <v>DUBOIS Eric</v>
      </c>
      <c r="F110" s="9">
        <v>35.4</v>
      </c>
      <c r="G110" s="9" t="s">
        <v>84</v>
      </c>
      <c r="H110" s="214">
        <v>226141</v>
      </c>
      <c r="I110" s="4" t="s">
        <v>48</v>
      </c>
      <c r="J110" s="217" t="s">
        <v>1540</v>
      </c>
      <c r="K110" s="21">
        <v>17542</v>
      </c>
      <c r="L110" s="23">
        <f t="shared" si="13"/>
        <v>69</v>
      </c>
      <c r="M110" s="23">
        <f t="shared" si="19"/>
        <v>104.4</v>
      </c>
      <c r="N110" s="8" t="str">
        <f ca="1" t="shared" si="15"/>
        <v> </v>
      </c>
      <c r="O110" s="8" t="str">
        <f t="shared" si="18"/>
        <v> </v>
      </c>
      <c r="P110" s="8"/>
      <c r="Q110" s="2" t="s">
        <v>1952</v>
      </c>
      <c r="R110" s="3">
        <v>1180</v>
      </c>
      <c r="S110" s="2" t="s">
        <v>1953</v>
      </c>
      <c r="T110" s="2" t="s">
        <v>1954</v>
      </c>
      <c r="U110" s="2" t="s">
        <v>1955</v>
      </c>
      <c r="V110" s="9">
        <v>35.4</v>
      </c>
      <c r="W110" s="5">
        <f t="shared" si="16"/>
        <v>0</v>
      </c>
      <c r="X110" s="6">
        <f t="shared" si="17"/>
        <v>0</v>
      </c>
    </row>
    <row r="111" spans="1:24" ht="12">
      <c r="A111" s="2" t="s">
        <v>1092</v>
      </c>
      <c r="B111" s="196" t="s">
        <v>1266</v>
      </c>
      <c r="C111" s="2" t="s">
        <v>1282</v>
      </c>
      <c r="D111" s="2" t="str">
        <f t="shared" si="11"/>
        <v>Ghislain DUBOIS</v>
      </c>
      <c r="E111" s="2" t="str">
        <f t="shared" si="12"/>
        <v>DUBOIS Ghislain</v>
      </c>
      <c r="F111" s="9">
        <v>20.8</v>
      </c>
      <c r="G111" s="9" t="s">
        <v>84</v>
      </c>
      <c r="H111" s="214">
        <v>227090</v>
      </c>
      <c r="I111" s="4" t="s">
        <v>101</v>
      </c>
      <c r="J111" s="217" t="s">
        <v>1540</v>
      </c>
      <c r="K111" s="21">
        <v>15396</v>
      </c>
      <c r="L111" s="23">
        <f t="shared" si="13"/>
        <v>75</v>
      </c>
      <c r="M111" s="23">
        <f t="shared" si="19"/>
        <v>95.8</v>
      </c>
      <c r="N111" s="8" t="str">
        <f ca="1" t="shared" si="15"/>
        <v> </v>
      </c>
      <c r="O111" s="8" t="str">
        <f t="shared" si="18"/>
        <v> </v>
      </c>
      <c r="P111" s="8" t="s">
        <v>1540</v>
      </c>
      <c r="Q111" s="2" t="s">
        <v>315</v>
      </c>
      <c r="R111" s="3">
        <v>1420</v>
      </c>
      <c r="S111" s="2" t="s">
        <v>535</v>
      </c>
      <c r="T111" s="2" t="s">
        <v>450</v>
      </c>
      <c r="U111" s="2" t="s">
        <v>721</v>
      </c>
      <c r="V111" s="9">
        <v>20.8</v>
      </c>
      <c r="W111" s="5">
        <f t="shared" si="16"/>
        <v>0</v>
      </c>
      <c r="X111" s="6">
        <f t="shared" si="17"/>
        <v>0</v>
      </c>
    </row>
    <row r="112" spans="1:24" ht="12">
      <c r="A112" s="2" t="s">
        <v>1092</v>
      </c>
      <c r="B112" s="196" t="s">
        <v>1267</v>
      </c>
      <c r="C112" s="2" t="s">
        <v>1282</v>
      </c>
      <c r="D112" s="2" t="str">
        <f t="shared" si="11"/>
        <v>Jean-Pierre DUBOIS</v>
      </c>
      <c r="E112" s="2" t="str">
        <f t="shared" si="12"/>
        <v>DUBOIS Jean-Pierre</v>
      </c>
      <c r="F112" s="9">
        <v>18.9</v>
      </c>
      <c r="G112" s="9" t="s">
        <v>84</v>
      </c>
      <c r="H112" s="214">
        <v>227094</v>
      </c>
      <c r="I112" s="4" t="s">
        <v>935</v>
      </c>
      <c r="J112" s="217" t="s">
        <v>1540</v>
      </c>
      <c r="K112" s="21">
        <v>14151</v>
      </c>
      <c r="L112" s="23">
        <f t="shared" si="13"/>
        <v>78</v>
      </c>
      <c r="M112" s="23">
        <f t="shared" si="19"/>
        <v>96.9</v>
      </c>
      <c r="N112" s="8" t="str">
        <f ca="1" t="shared" si="15"/>
        <v> </v>
      </c>
      <c r="O112" s="8" t="str">
        <f t="shared" si="18"/>
        <v> </v>
      </c>
      <c r="P112" s="8" t="s">
        <v>1540</v>
      </c>
      <c r="Q112" s="2" t="s">
        <v>316</v>
      </c>
      <c r="R112" s="3">
        <v>1180</v>
      </c>
      <c r="S112" s="2" t="s">
        <v>546</v>
      </c>
      <c r="T112" s="2" t="s">
        <v>397</v>
      </c>
      <c r="U112" s="2" t="s">
        <v>702</v>
      </c>
      <c r="V112" s="9">
        <v>18.9</v>
      </c>
      <c r="W112" s="5">
        <f t="shared" si="16"/>
        <v>0</v>
      </c>
      <c r="X112" s="6">
        <f t="shared" si="17"/>
        <v>0</v>
      </c>
    </row>
    <row r="113" spans="1:24" ht="12">
      <c r="A113" s="2" t="s">
        <v>1093</v>
      </c>
      <c r="B113" s="196" t="s">
        <v>1268</v>
      </c>
      <c r="C113" s="2" t="s">
        <v>1282</v>
      </c>
      <c r="D113" s="2" t="str">
        <f t="shared" si="11"/>
        <v>Maire-France DUBOIS</v>
      </c>
      <c r="E113" s="2" t="str">
        <f t="shared" si="12"/>
        <v>DUBOIS Maire-France</v>
      </c>
      <c r="F113" s="9">
        <v>36</v>
      </c>
      <c r="G113" s="9" t="s">
        <v>84</v>
      </c>
      <c r="H113" s="214">
        <v>227093</v>
      </c>
      <c r="I113" s="4" t="s">
        <v>936</v>
      </c>
      <c r="J113" s="217" t="s">
        <v>1540</v>
      </c>
      <c r="K113" s="21">
        <v>16256</v>
      </c>
      <c r="L113" s="23">
        <f t="shared" si="13"/>
        <v>72</v>
      </c>
      <c r="M113" s="23">
        <f t="shared" si="19"/>
        <v>108</v>
      </c>
      <c r="N113" s="8" t="str">
        <f ca="1" t="shared" si="15"/>
        <v> </v>
      </c>
      <c r="O113" s="8" t="str">
        <f t="shared" si="18"/>
        <v> </v>
      </c>
      <c r="P113" s="8" t="s">
        <v>1540</v>
      </c>
      <c r="Q113" s="2" t="s">
        <v>317</v>
      </c>
      <c r="R113" s="3">
        <v>1180</v>
      </c>
      <c r="S113" s="2" t="s">
        <v>546</v>
      </c>
      <c r="T113" s="2" t="s">
        <v>380</v>
      </c>
      <c r="U113" s="2" t="s">
        <v>329</v>
      </c>
      <c r="V113" s="9">
        <v>36</v>
      </c>
      <c r="W113" s="5">
        <f t="shared" si="16"/>
        <v>0</v>
      </c>
      <c r="X113" s="6">
        <f t="shared" si="17"/>
        <v>0</v>
      </c>
    </row>
    <row r="114" spans="1:24" ht="12">
      <c r="A114" s="2" t="s">
        <v>1093</v>
      </c>
      <c r="B114" s="196" t="s">
        <v>1269</v>
      </c>
      <c r="C114" s="2" t="s">
        <v>1282</v>
      </c>
      <c r="D114" s="2" t="str">
        <f t="shared" si="11"/>
        <v>Sabine DUBOIS</v>
      </c>
      <c r="E114" s="2" t="str">
        <f t="shared" si="12"/>
        <v>DUBOIS Sabine</v>
      </c>
      <c r="F114" s="9">
        <v>32.2</v>
      </c>
      <c r="G114" s="9" t="s">
        <v>84</v>
      </c>
      <c r="H114" s="214">
        <v>227091</v>
      </c>
      <c r="I114" s="4" t="s">
        <v>934</v>
      </c>
      <c r="J114" s="217" t="s">
        <v>1540</v>
      </c>
      <c r="K114" s="21">
        <v>16445</v>
      </c>
      <c r="L114" s="23">
        <f t="shared" si="13"/>
        <v>72</v>
      </c>
      <c r="M114" s="23">
        <f t="shared" si="19"/>
        <v>104.2</v>
      </c>
      <c r="N114" s="8" t="str">
        <f ca="1" t="shared" si="15"/>
        <v> </v>
      </c>
      <c r="O114" s="8" t="str">
        <f t="shared" si="18"/>
        <v> </v>
      </c>
      <c r="P114" s="8" t="s">
        <v>1540</v>
      </c>
      <c r="Q114" s="2" t="s">
        <v>315</v>
      </c>
      <c r="R114" s="3">
        <v>1420</v>
      </c>
      <c r="S114" s="2" t="s">
        <v>535</v>
      </c>
      <c r="T114" s="2" t="s">
        <v>450</v>
      </c>
      <c r="U114" s="2" t="s">
        <v>722</v>
      </c>
      <c r="V114" s="9">
        <v>32.2</v>
      </c>
      <c r="W114" s="5">
        <f t="shared" si="16"/>
        <v>0</v>
      </c>
      <c r="X114" s="6">
        <f t="shared" si="17"/>
        <v>0</v>
      </c>
    </row>
    <row r="115" spans="1:24" ht="12">
      <c r="A115" s="2" t="s">
        <v>1093</v>
      </c>
      <c r="B115" s="196" t="s">
        <v>1270</v>
      </c>
      <c r="C115" s="2" t="s">
        <v>1282</v>
      </c>
      <c r="D115" s="2" t="str">
        <f t="shared" si="11"/>
        <v>Viviane DUBOIS</v>
      </c>
      <c r="E115" s="2" t="str">
        <f t="shared" si="12"/>
        <v>DUBOIS Viviane</v>
      </c>
      <c r="F115" s="9">
        <v>36</v>
      </c>
      <c r="G115" s="9" t="s">
        <v>84</v>
      </c>
      <c r="H115" s="214">
        <v>227095</v>
      </c>
      <c r="I115" s="4" t="s">
        <v>937</v>
      </c>
      <c r="J115" s="217" t="s">
        <v>1540</v>
      </c>
      <c r="K115" s="21">
        <v>14601</v>
      </c>
      <c r="L115" s="23">
        <f t="shared" si="13"/>
        <v>77</v>
      </c>
      <c r="M115" s="23">
        <f t="shared" si="19"/>
        <v>113</v>
      </c>
      <c r="N115" s="8" t="str">
        <f ca="1" t="shared" si="15"/>
        <v> </v>
      </c>
      <c r="O115" s="8" t="str">
        <f t="shared" si="18"/>
        <v> </v>
      </c>
      <c r="P115" s="8" t="s">
        <v>1540</v>
      </c>
      <c r="Q115" s="2" t="s">
        <v>316</v>
      </c>
      <c r="R115" s="3">
        <v>1180</v>
      </c>
      <c r="S115" s="2" t="s">
        <v>546</v>
      </c>
      <c r="T115" s="2" t="s">
        <v>397</v>
      </c>
      <c r="U115" s="2" t="s">
        <v>328</v>
      </c>
      <c r="V115" s="9">
        <v>36</v>
      </c>
      <c r="W115" s="5">
        <f t="shared" si="16"/>
        <v>0</v>
      </c>
      <c r="X115" s="6">
        <f t="shared" si="17"/>
        <v>0</v>
      </c>
    </row>
    <row r="116" spans="1:24" ht="12">
      <c r="A116" s="2" t="s">
        <v>1092</v>
      </c>
      <c r="B116" s="196" t="s">
        <v>1271</v>
      </c>
      <c r="C116" s="2" t="s">
        <v>1282</v>
      </c>
      <c r="D116" s="2" t="str">
        <f t="shared" si="11"/>
        <v>Xavier DUBOIS</v>
      </c>
      <c r="E116" s="2" t="str">
        <f t="shared" si="12"/>
        <v>DUBOIS Xavier</v>
      </c>
      <c r="F116" s="9">
        <v>25.4</v>
      </c>
      <c r="G116" s="9" t="s">
        <v>84</v>
      </c>
      <c r="H116" s="214">
        <v>227092</v>
      </c>
      <c r="I116" s="4" t="s">
        <v>936</v>
      </c>
      <c r="J116" s="217" t="s">
        <v>1540</v>
      </c>
      <c r="K116" s="21">
        <v>15071</v>
      </c>
      <c r="L116" s="23">
        <f t="shared" si="13"/>
        <v>76</v>
      </c>
      <c r="M116" s="23">
        <f t="shared" si="19"/>
        <v>101.4</v>
      </c>
      <c r="N116" s="8" t="str">
        <f ca="1" t="shared" si="15"/>
        <v> </v>
      </c>
      <c r="O116" s="8" t="str">
        <f t="shared" si="18"/>
        <v> </v>
      </c>
      <c r="P116" s="8" t="s">
        <v>1540</v>
      </c>
      <c r="Q116" s="2" t="s">
        <v>317</v>
      </c>
      <c r="R116" s="3">
        <v>1180</v>
      </c>
      <c r="S116" s="2" t="s">
        <v>546</v>
      </c>
      <c r="T116" s="2" t="s">
        <v>380</v>
      </c>
      <c r="U116" s="2" t="s">
        <v>601</v>
      </c>
      <c r="V116" s="9">
        <v>25.4</v>
      </c>
      <c r="W116" s="5">
        <f t="shared" si="16"/>
        <v>0</v>
      </c>
      <c r="X116" s="6">
        <f t="shared" si="17"/>
        <v>0</v>
      </c>
    </row>
    <row r="117" spans="1:24" ht="12">
      <c r="A117" s="2" t="s">
        <v>1093</v>
      </c>
      <c r="B117" s="196" t="s">
        <v>1272</v>
      </c>
      <c r="C117" s="2" t="s">
        <v>1283</v>
      </c>
      <c r="D117" s="2" t="str">
        <f t="shared" si="11"/>
        <v>Mary DUCHATEAU </v>
      </c>
      <c r="E117" s="2" t="str">
        <f t="shared" si="12"/>
        <v>DUCHATEAU  Mary</v>
      </c>
      <c r="F117" s="9">
        <v>18.5</v>
      </c>
      <c r="G117" s="9" t="s">
        <v>84</v>
      </c>
      <c r="H117" s="214">
        <v>255785</v>
      </c>
      <c r="I117" s="4" t="s">
        <v>938</v>
      </c>
      <c r="J117" s="217" t="s">
        <v>1540</v>
      </c>
      <c r="K117" s="21">
        <v>20438</v>
      </c>
      <c r="L117" s="23">
        <f t="shared" si="13"/>
        <v>61</v>
      </c>
      <c r="M117" s="23">
        <f t="shared" si="19"/>
        <v>79.5</v>
      </c>
      <c r="N117" s="8" t="str">
        <f ca="1" t="shared" si="15"/>
        <v> </v>
      </c>
      <c r="O117" s="8" t="str">
        <f t="shared" si="18"/>
        <v> </v>
      </c>
      <c r="P117" s="8"/>
      <c r="Q117" s="2" t="s">
        <v>318</v>
      </c>
      <c r="R117" s="3">
        <v>1180</v>
      </c>
      <c r="S117" s="2" t="s">
        <v>546</v>
      </c>
      <c r="T117" s="2" t="s">
        <v>340</v>
      </c>
      <c r="U117" s="2" t="s">
        <v>341</v>
      </c>
      <c r="V117" s="9">
        <v>18.5</v>
      </c>
      <c r="W117" s="5">
        <f t="shared" si="16"/>
        <v>0</v>
      </c>
      <c r="X117" s="6">
        <f t="shared" si="17"/>
        <v>0</v>
      </c>
    </row>
    <row r="118" spans="1:24" ht="12">
      <c r="A118" s="2" t="s">
        <v>1093</v>
      </c>
      <c r="B118" s="196" t="s">
        <v>1273</v>
      </c>
      <c r="C118" s="2" t="s">
        <v>1284</v>
      </c>
      <c r="D118" s="2" t="str">
        <f t="shared" si="11"/>
        <v>Marie DUMONT</v>
      </c>
      <c r="E118" s="2" t="str">
        <f t="shared" si="12"/>
        <v>DUMONT Marie</v>
      </c>
      <c r="F118" s="9">
        <v>31.8</v>
      </c>
      <c r="G118" s="9" t="s">
        <v>84</v>
      </c>
      <c r="H118" s="214">
        <v>244250</v>
      </c>
      <c r="I118" s="4" t="s">
        <v>939</v>
      </c>
      <c r="J118" s="217" t="s">
        <v>1540</v>
      </c>
      <c r="K118" s="21">
        <v>14819</v>
      </c>
      <c r="L118" s="23">
        <f t="shared" si="13"/>
        <v>76</v>
      </c>
      <c r="M118" s="23">
        <f t="shared" si="19"/>
        <v>107.8</v>
      </c>
      <c r="N118" s="8" t="str">
        <f ca="1" t="shared" si="15"/>
        <v> </v>
      </c>
      <c r="O118" s="8" t="str">
        <f t="shared" si="18"/>
        <v> </v>
      </c>
      <c r="P118" s="8" t="s">
        <v>1540</v>
      </c>
      <c r="Q118" s="2" t="s">
        <v>319</v>
      </c>
      <c r="R118" s="3">
        <v>1501</v>
      </c>
      <c r="S118" s="2" t="s">
        <v>352</v>
      </c>
      <c r="T118" s="2" t="s">
        <v>381</v>
      </c>
      <c r="U118" s="2" t="s">
        <v>379</v>
      </c>
      <c r="V118" s="9">
        <v>31.8</v>
      </c>
      <c r="W118" s="5">
        <f t="shared" si="16"/>
        <v>0</v>
      </c>
      <c r="X118" s="6">
        <f t="shared" si="17"/>
        <v>0</v>
      </c>
    </row>
    <row r="119" spans="1:24" ht="12">
      <c r="A119" s="2" t="s">
        <v>1092</v>
      </c>
      <c r="B119" s="196" t="s">
        <v>1189</v>
      </c>
      <c r="C119" s="2" t="s">
        <v>1285</v>
      </c>
      <c r="D119" s="2" t="str">
        <f t="shared" si="11"/>
        <v>Paul DUMONT </v>
      </c>
      <c r="E119" s="2" t="str">
        <f t="shared" si="12"/>
        <v>DUMONT  Paul</v>
      </c>
      <c r="F119" s="9">
        <v>23.1</v>
      </c>
      <c r="G119" s="9" t="s">
        <v>84</v>
      </c>
      <c r="H119" s="214">
        <v>227101</v>
      </c>
      <c r="I119" s="4" t="s">
        <v>940</v>
      </c>
      <c r="J119" s="217" t="s">
        <v>1540</v>
      </c>
      <c r="K119" s="21">
        <v>14577</v>
      </c>
      <c r="L119" s="23">
        <f t="shared" si="13"/>
        <v>77</v>
      </c>
      <c r="M119" s="23">
        <f t="shared" si="19"/>
        <v>100.1</v>
      </c>
      <c r="N119" s="8" t="str">
        <f ca="1" t="shared" si="15"/>
        <v> </v>
      </c>
      <c r="O119" s="8" t="str">
        <f t="shared" si="18"/>
        <v> </v>
      </c>
      <c r="P119" s="8" t="s">
        <v>1540</v>
      </c>
      <c r="Q119" s="2" t="s">
        <v>319</v>
      </c>
      <c r="R119" s="3">
        <v>1501</v>
      </c>
      <c r="S119" s="2" t="s">
        <v>352</v>
      </c>
      <c r="T119" s="2" t="s">
        <v>381</v>
      </c>
      <c r="U119" s="2" t="s">
        <v>382</v>
      </c>
      <c r="V119" s="9">
        <v>23.1</v>
      </c>
      <c r="W119" s="5">
        <f t="shared" si="16"/>
        <v>0</v>
      </c>
      <c r="X119" s="6">
        <f t="shared" si="17"/>
        <v>0</v>
      </c>
    </row>
    <row r="120" spans="1:24" ht="12">
      <c r="A120" s="2" t="s">
        <v>1093</v>
      </c>
      <c r="B120" s="196" t="s">
        <v>1274</v>
      </c>
      <c r="C120" s="2" t="s">
        <v>1286</v>
      </c>
      <c r="D120" s="2" t="str">
        <f t="shared" si="11"/>
        <v>Yolande DURANT</v>
      </c>
      <c r="E120" s="2" t="str">
        <f t="shared" si="12"/>
        <v>DURANT Yolande</v>
      </c>
      <c r="F120" s="9">
        <v>14.7</v>
      </c>
      <c r="G120" s="9" t="s">
        <v>84</v>
      </c>
      <c r="H120" s="214">
        <v>227103</v>
      </c>
      <c r="I120" s="4" t="s">
        <v>941</v>
      </c>
      <c r="J120" s="217" t="s">
        <v>1540</v>
      </c>
      <c r="K120" s="21">
        <v>16838</v>
      </c>
      <c r="L120" s="23">
        <f t="shared" si="13"/>
        <v>71</v>
      </c>
      <c r="M120" s="23">
        <f t="shared" si="19"/>
        <v>85.7</v>
      </c>
      <c r="N120" s="8" t="str">
        <f ca="1" t="shared" si="15"/>
        <v> </v>
      </c>
      <c r="O120" s="8" t="str">
        <f t="shared" si="18"/>
        <v> </v>
      </c>
      <c r="P120" s="8" t="s">
        <v>1540</v>
      </c>
      <c r="Q120" s="2" t="s">
        <v>320</v>
      </c>
      <c r="R120" s="3">
        <v>1780</v>
      </c>
      <c r="S120" s="2" t="s">
        <v>350</v>
      </c>
      <c r="T120" s="2" t="s">
        <v>383</v>
      </c>
      <c r="U120" s="2" t="s">
        <v>639</v>
      </c>
      <c r="V120" s="9">
        <v>14.7</v>
      </c>
      <c r="W120" s="5">
        <f t="shared" si="16"/>
        <v>0</v>
      </c>
      <c r="X120" s="6">
        <f t="shared" si="17"/>
        <v>0</v>
      </c>
    </row>
    <row r="121" spans="1:24" ht="12">
      <c r="A121" s="2" t="s">
        <v>1092</v>
      </c>
      <c r="B121" s="196" t="s">
        <v>1160</v>
      </c>
      <c r="C121" s="2" t="s">
        <v>1287</v>
      </c>
      <c r="D121" s="2" t="str">
        <f t="shared" si="11"/>
        <v>Jacques DYKMANS</v>
      </c>
      <c r="E121" s="2" t="str">
        <f t="shared" si="12"/>
        <v>DYKMANS Jacques</v>
      </c>
      <c r="F121" s="9">
        <v>33.6</v>
      </c>
      <c r="G121" s="9" t="s">
        <v>84</v>
      </c>
      <c r="H121" s="214">
        <v>221255</v>
      </c>
      <c r="I121" s="4" t="s">
        <v>942</v>
      </c>
      <c r="J121" s="217" t="s">
        <v>1540</v>
      </c>
      <c r="K121" s="21">
        <v>10335</v>
      </c>
      <c r="L121" s="23">
        <f t="shared" si="13"/>
        <v>89</v>
      </c>
      <c r="M121" s="23">
        <f t="shared" si="19"/>
        <v>122.6</v>
      </c>
      <c r="N121" s="8" t="str">
        <f ca="1" t="shared" si="15"/>
        <v> </v>
      </c>
      <c r="O121" s="8" t="str">
        <f t="shared" si="18"/>
        <v> </v>
      </c>
      <c r="P121" s="8" t="s">
        <v>1540</v>
      </c>
      <c r="Q121" s="2" t="s">
        <v>321</v>
      </c>
      <c r="R121" s="3">
        <v>1180</v>
      </c>
      <c r="S121" s="2" t="s">
        <v>546</v>
      </c>
      <c r="T121" s="2" t="s">
        <v>629</v>
      </c>
      <c r="U121" s="2" t="s">
        <v>630</v>
      </c>
      <c r="V121" s="9">
        <v>33.6</v>
      </c>
      <c r="W121" s="5">
        <f t="shared" si="16"/>
        <v>0</v>
      </c>
      <c r="X121" s="6">
        <f t="shared" si="17"/>
        <v>0</v>
      </c>
    </row>
    <row r="122" spans="1:24" ht="12">
      <c r="A122" s="2" t="s">
        <v>1093</v>
      </c>
      <c r="B122" s="196" t="s">
        <v>1152</v>
      </c>
      <c r="C122" s="2" t="s">
        <v>37</v>
      </c>
      <c r="D122" s="2" t="str">
        <f t="shared" si="11"/>
        <v>Michelle EGGERICKS</v>
      </c>
      <c r="E122" s="2" t="str">
        <f t="shared" si="12"/>
        <v>EGGERICKS Michelle</v>
      </c>
      <c r="F122" s="9">
        <v>36</v>
      </c>
      <c r="G122" s="9" t="s">
        <v>84</v>
      </c>
      <c r="H122" s="214">
        <v>720857</v>
      </c>
      <c r="I122" s="4" t="s">
        <v>38</v>
      </c>
      <c r="J122" s="217" t="s">
        <v>1540</v>
      </c>
      <c r="K122" s="21">
        <v>16973</v>
      </c>
      <c r="L122" s="23">
        <f t="shared" si="13"/>
        <v>70</v>
      </c>
      <c r="M122" s="23">
        <f t="shared" si="19"/>
        <v>106</v>
      </c>
      <c r="N122" s="8" t="str">
        <f ca="1" t="shared" si="15"/>
        <v> </v>
      </c>
      <c r="O122" s="8" t="str">
        <f t="shared" si="18"/>
        <v> </v>
      </c>
      <c r="P122" s="8" t="s">
        <v>856</v>
      </c>
      <c r="Q122" s="2" t="s">
        <v>321</v>
      </c>
      <c r="R122" s="3">
        <v>1180</v>
      </c>
      <c r="S122" s="2" t="s">
        <v>546</v>
      </c>
      <c r="T122" s="2" t="s">
        <v>629</v>
      </c>
      <c r="U122" s="2" t="s">
        <v>39</v>
      </c>
      <c r="V122" s="9">
        <v>36</v>
      </c>
      <c r="W122" s="5">
        <f t="shared" si="16"/>
        <v>0</v>
      </c>
      <c r="X122" s="6">
        <f t="shared" si="17"/>
        <v>0</v>
      </c>
    </row>
    <row r="123" spans="1:24" ht="12">
      <c r="A123" s="2" t="s">
        <v>1092</v>
      </c>
      <c r="B123" s="196" t="s">
        <v>1275</v>
      </c>
      <c r="C123" s="2" t="s">
        <v>1288</v>
      </c>
      <c r="D123" s="2" t="str">
        <f t="shared" si="11"/>
        <v>Yves EMMERECHTS </v>
      </c>
      <c r="E123" s="2" t="str">
        <f t="shared" si="12"/>
        <v>EMMERECHTS  Yves</v>
      </c>
      <c r="F123" s="9">
        <v>36</v>
      </c>
      <c r="G123" s="9" t="s">
        <v>84</v>
      </c>
      <c r="H123" s="214">
        <v>252190</v>
      </c>
      <c r="I123" s="4" t="s">
        <v>943</v>
      </c>
      <c r="J123" s="217" t="s">
        <v>1540</v>
      </c>
      <c r="K123" s="21">
        <v>14995</v>
      </c>
      <c r="L123" s="23">
        <f t="shared" si="13"/>
        <v>76</v>
      </c>
      <c r="M123" s="23">
        <f t="shared" si="19"/>
        <v>112</v>
      </c>
      <c r="N123" s="8" t="str">
        <f ca="1" t="shared" si="15"/>
        <v> </v>
      </c>
      <c r="O123" s="8" t="str">
        <f t="shared" si="18"/>
        <v> </v>
      </c>
      <c r="P123" s="8" t="s">
        <v>1540</v>
      </c>
      <c r="Q123" s="2" t="s">
        <v>795</v>
      </c>
      <c r="R123" s="3">
        <v>1780</v>
      </c>
      <c r="S123" s="2" t="s">
        <v>350</v>
      </c>
      <c r="T123" s="2" t="s">
        <v>525</v>
      </c>
      <c r="U123" s="2" t="s">
        <v>526</v>
      </c>
      <c r="V123" s="9">
        <v>36</v>
      </c>
      <c r="W123" s="5">
        <f t="shared" si="16"/>
        <v>0</v>
      </c>
      <c r="X123" s="6">
        <f t="shared" si="17"/>
        <v>0</v>
      </c>
    </row>
    <row r="124" spans="1:24" ht="12">
      <c r="A124" s="2" t="s">
        <v>1092</v>
      </c>
      <c r="B124" s="196" t="s">
        <v>1782</v>
      </c>
      <c r="C124" s="2" t="s">
        <v>1783</v>
      </c>
      <c r="D124" s="2" t="str">
        <f t="shared" si="11"/>
        <v>Wolfgang ENTMAYR</v>
      </c>
      <c r="E124" s="2" t="str">
        <f t="shared" si="12"/>
        <v>ENTMAYR Wolfgang</v>
      </c>
      <c r="F124" s="9">
        <v>20.6</v>
      </c>
      <c r="G124" s="9" t="s">
        <v>84</v>
      </c>
      <c r="H124" s="214">
        <v>254671</v>
      </c>
      <c r="I124" s="4" t="s">
        <v>1816</v>
      </c>
      <c r="J124" s="217" t="s">
        <v>1540</v>
      </c>
      <c r="K124" s="21">
        <v>18102</v>
      </c>
      <c r="L124" s="23">
        <f t="shared" si="13"/>
        <v>67</v>
      </c>
      <c r="M124" s="23">
        <f t="shared" si="19"/>
        <v>87.6</v>
      </c>
      <c r="N124" s="8" t="str">
        <f ca="1" t="shared" si="15"/>
        <v> </v>
      </c>
      <c r="O124" s="8" t="str">
        <f t="shared" si="18"/>
        <v> </v>
      </c>
      <c r="P124" s="8"/>
      <c r="Q124" s="2" t="s">
        <v>796</v>
      </c>
      <c r="R124" s="3">
        <v>1640</v>
      </c>
      <c r="S124" s="2" t="s">
        <v>345</v>
      </c>
      <c r="T124" s="2" t="s">
        <v>640</v>
      </c>
      <c r="U124" s="2" t="s">
        <v>1817</v>
      </c>
      <c r="V124" s="9">
        <v>20.6</v>
      </c>
      <c r="W124" s="5">
        <f t="shared" si="16"/>
        <v>0</v>
      </c>
      <c r="X124" s="6">
        <f t="shared" si="17"/>
        <v>0</v>
      </c>
    </row>
    <row r="125" spans="1:24" ht="12">
      <c r="A125" s="2" t="s">
        <v>1093</v>
      </c>
      <c r="B125" s="196" t="s">
        <v>1931</v>
      </c>
      <c r="C125" s="2" t="s">
        <v>1932</v>
      </c>
      <c r="D125" s="2" t="str">
        <f t="shared" si="11"/>
        <v>Bernadette ERPICUM</v>
      </c>
      <c r="E125" s="2" t="str">
        <f t="shared" si="12"/>
        <v>ERPICUM Bernadette</v>
      </c>
      <c r="F125" s="9">
        <v>18</v>
      </c>
      <c r="G125" s="9" t="s">
        <v>84</v>
      </c>
      <c r="H125" s="214">
        <v>226904</v>
      </c>
      <c r="I125" s="4" t="s">
        <v>1980</v>
      </c>
      <c r="J125" s="217"/>
      <c r="K125" s="21">
        <v>20541</v>
      </c>
      <c r="L125" s="23">
        <f t="shared" si="13"/>
        <v>61</v>
      </c>
      <c r="M125" s="23">
        <f t="shared" si="19"/>
        <v>79</v>
      </c>
      <c r="N125" s="8" t="str">
        <f ca="1" t="shared" si="15"/>
        <v> </v>
      </c>
      <c r="O125" s="8" t="str">
        <f t="shared" si="18"/>
        <v> </v>
      </c>
      <c r="P125" s="8"/>
      <c r="Q125" s="2" t="s">
        <v>1937</v>
      </c>
      <c r="R125" s="3">
        <v>1420</v>
      </c>
      <c r="S125" s="2" t="s">
        <v>535</v>
      </c>
      <c r="T125" s="2"/>
      <c r="U125" s="2" t="s">
        <v>1938</v>
      </c>
      <c r="V125" s="9">
        <v>18</v>
      </c>
      <c r="W125" s="5">
        <f t="shared" si="16"/>
        <v>0</v>
      </c>
      <c r="X125" s="6">
        <f t="shared" si="17"/>
        <v>0</v>
      </c>
    </row>
    <row r="126" spans="1:24" ht="12">
      <c r="A126" s="2" t="s">
        <v>1092</v>
      </c>
      <c r="B126" s="196" t="s">
        <v>1193</v>
      </c>
      <c r="C126" s="2" t="s">
        <v>1289</v>
      </c>
      <c r="D126" s="2" t="str">
        <f t="shared" si="11"/>
        <v>Marc ERRERA </v>
      </c>
      <c r="E126" s="2" t="str">
        <f t="shared" si="12"/>
        <v>ERRERA  Marc</v>
      </c>
      <c r="F126" s="9">
        <v>16.4</v>
      </c>
      <c r="G126" s="9" t="s">
        <v>84</v>
      </c>
      <c r="H126" s="214">
        <v>227110</v>
      </c>
      <c r="I126" s="4" t="s">
        <v>1140</v>
      </c>
      <c r="J126" s="217"/>
      <c r="K126" s="21">
        <v>16099</v>
      </c>
      <c r="L126" s="23">
        <f t="shared" si="13"/>
        <v>73</v>
      </c>
      <c r="M126" s="23">
        <f t="shared" si="19"/>
        <v>89.4</v>
      </c>
      <c r="N126" s="8" t="str">
        <f ca="1" t="shared" si="15"/>
        <v> </v>
      </c>
      <c r="O126" s="8" t="str">
        <f t="shared" si="18"/>
        <v> </v>
      </c>
      <c r="P126" s="8"/>
      <c r="Q126" s="2" t="s">
        <v>1123</v>
      </c>
      <c r="R126" s="3">
        <v>1180</v>
      </c>
      <c r="S126" s="2" t="s">
        <v>546</v>
      </c>
      <c r="T126" s="2"/>
      <c r="U126" s="2" t="s">
        <v>1124</v>
      </c>
      <c r="V126" s="9">
        <v>16.4</v>
      </c>
      <c r="W126" s="5">
        <f t="shared" si="16"/>
        <v>0</v>
      </c>
      <c r="X126" s="6">
        <f t="shared" si="17"/>
        <v>0</v>
      </c>
    </row>
    <row r="127" spans="1:24" ht="12">
      <c r="A127" s="2" t="s">
        <v>1092</v>
      </c>
      <c r="B127" s="196" t="s">
        <v>1170</v>
      </c>
      <c r="C127" s="2" t="s">
        <v>1928</v>
      </c>
      <c r="D127" s="2" t="str">
        <f t="shared" si="11"/>
        <v>Alain FAYARD</v>
      </c>
      <c r="E127" s="2" t="str">
        <f t="shared" si="12"/>
        <v>FAYARD Alain</v>
      </c>
      <c r="F127" s="9">
        <v>25.8</v>
      </c>
      <c r="G127" s="9" t="s">
        <v>84</v>
      </c>
      <c r="H127" s="214">
        <v>1023122</v>
      </c>
      <c r="I127" s="4" t="s">
        <v>1940</v>
      </c>
      <c r="J127" s="217" t="s">
        <v>1540</v>
      </c>
      <c r="K127" s="21">
        <v>20541</v>
      </c>
      <c r="L127" s="23">
        <f t="shared" si="13"/>
        <v>61</v>
      </c>
      <c r="M127" s="23">
        <f t="shared" si="19"/>
        <v>86.8</v>
      </c>
      <c r="N127" s="8" t="str">
        <f ca="1" t="shared" si="15"/>
        <v> </v>
      </c>
      <c r="O127" s="8" t="str">
        <f t="shared" si="18"/>
        <v> </v>
      </c>
      <c r="P127" s="8"/>
      <c r="Q127" s="2" t="s">
        <v>1939</v>
      </c>
      <c r="R127" s="3">
        <v>1050</v>
      </c>
      <c r="S127" s="2" t="s">
        <v>546</v>
      </c>
      <c r="T127" s="2" t="s">
        <v>1941</v>
      </c>
      <c r="U127" s="2" t="s">
        <v>1942</v>
      </c>
      <c r="V127" s="9">
        <v>25.8</v>
      </c>
      <c r="W127" s="5">
        <f t="shared" si="16"/>
        <v>0</v>
      </c>
      <c r="X127" s="6">
        <f t="shared" si="17"/>
        <v>0</v>
      </c>
    </row>
    <row r="128" spans="1:24" ht="12">
      <c r="A128" s="2" t="s">
        <v>1092</v>
      </c>
      <c r="B128" s="196" t="s">
        <v>1267</v>
      </c>
      <c r="C128" s="2" t="s">
        <v>1290</v>
      </c>
      <c r="D128" s="2" t="str">
        <f t="shared" si="11"/>
        <v>Jean-Pierre FEVRIER</v>
      </c>
      <c r="E128" s="2" t="str">
        <f t="shared" si="12"/>
        <v>FEVRIER Jean-Pierre</v>
      </c>
      <c r="F128" s="9">
        <v>27</v>
      </c>
      <c r="G128" s="9" t="s">
        <v>84</v>
      </c>
      <c r="H128" s="214">
        <v>227131</v>
      </c>
      <c r="I128" s="4" t="s">
        <v>944</v>
      </c>
      <c r="J128" s="217" t="s">
        <v>1540</v>
      </c>
      <c r="K128" s="21">
        <v>12803</v>
      </c>
      <c r="L128" s="23">
        <f t="shared" si="13"/>
        <v>82</v>
      </c>
      <c r="M128" s="23">
        <f t="shared" si="19"/>
        <v>109</v>
      </c>
      <c r="N128" s="8" t="str">
        <f ca="1" t="shared" si="15"/>
        <v> </v>
      </c>
      <c r="O128" s="8" t="str">
        <f t="shared" si="18"/>
        <v> </v>
      </c>
      <c r="P128" s="8"/>
      <c r="Q128" s="2" t="s">
        <v>797</v>
      </c>
      <c r="R128" s="3">
        <v>1180</v>
      </c>
      <c r="S128" s="2" t="s">
        <v>546</v>
      </c>
      <c r="T128" s="2" t="s">
        <v>376</v>
      </c>
      <c r="U128" s="2" t="s">
        <v>1997</v>
      </c>
      <c r="V128" s="9">
        <v>27</v>
      </c>
      <c r="W128" s="5">
        <f t="shared" si="16"/>
        <v>0</v>
      </c>
      <c r="X128" s="6">
        <f t="shared" si="17"/>
        <v>0</v>
      </c>
    </row>
    <row r="129" spans="1:24" ht="12">
      <c r="A129" s="2" t="s">
        <v>1092</v>
      </c>
      <c r="B129" s="196" t="s">
        <v>1518</v>
      </c>
      <c r="C129" s="2" t="s">
        <v>1291</v>
      </c>
      <c r="D129" s="2" t="str">
        <f aca="true" t="shared" si="20" ref="D129:D193">B129&amp;" "&amp;C129</f>
        <v>Josy FLORENTIN </v>
      </c>
      <c r="E129" s="2" t="str">
        <f aca="true" t="shared" si="21" ref="E129:E193">C129&amp;" "&amp;B129</f>
        <v>FLORENTIN  Josy</v>
      </c>
      <c r="F129" s="9">
        <v>17.2</v>
      </c>
      <c r="G129" s="9" t="s">
        <v>84</v>
      </c>
      <c r="H129" s="214">
        <v>227134</v>
      </c>
      <c r="I129" s="4" t="s">
        <v>945</v>
      </c>
      <c r="J129" s="217" t="s">
        <v>1540</v>
      </c>
      <c r="K129" s="21">
        <v>19176</v>
      </c>
      <c r="L129" s="23">
        <f aca="true" t="shared" si="22" ref="L129:L193">YEAR(jourdhui)-YEAR(K129)-IF(MONTH(K129)&gt;MONTH(jourdhui),1,0)-(IF(MONTH(K129)=MONTH(jourdhui),1,0)*IF(DAY(K129)&gt;DAY(jourdhui),1,0))</f>
        <v>64</v>
      </c>
      <c r="M129" s="23">
        <f aca="true" t="shared" si="23" ref="M129:M138">L129+F129</f>
        <v>81.2</v>
      </c>
      <c r="N129" s="8" t="str">
        <f aca="true" ca="1" t="shared" si="24" ref="N129:N193">IF((IF(DAY(K129)=DAY(TODAY()),1,0)+IF(MONTH(K129)=MONTH(TODAY()),1,0))=2,"y"," ")</f>
        <v> </v>
      </c>
      <c r="O129" s="8" t="str">
        <f t="shared" si="18"/>
        <v> </v>
      </c>
      <c r="P129" s="8" t="s">
        <v>1540</v>
      </c>
      <c r="Q129" s="2" t="s">
        <v>798</v>
      </c>
      <c r="R129" s="3">
        <v>1650</v>
      </c>
      <c r="S129" s="2" t="s">
        <v>347</v>
      </c>
      <c r="T129" s="2" t="s">
        <v>642</v>
      </c>
      <c r="U129" s="2" t="s">
        <v>337</v>
      </c>
      <c r="V129" s="9">
        <v>17.2</v>
      </c>
      <c r="W129" s="5">
        <f aca="true" t="shared" si="25" ref="W129:W193">F129-V129</f>
        <v>0</v>
      </c>
      <c r="X129" s="6">
        <f aca="true" t="shared" si="26" ref="X129:X193">(V129-F129)/V129</f>
        <v>0</v>
      </c>
    </row>
    <row r="130" spans="1:24" ht="12">
      <c r="A130" s="2" t="s">
        <v>1093</v>
      </c>
      <c r="B130" s="196" t="s">
        <v>1272</v>
      </c>
      <c r="C130" s="2" t="s">
        <v>1292</v>
      </c>
      <c r="D130" s="2" t="str">
        <f t="shared" si="20"/>
        <v>Mary FOHAL</v>
      </c>
      <c r="E130" s="2" t="str">
        <f t="shared" si="21"/>
        <v>FOHAL Mary</v>
      </c>
      <c r="F130" s="9">
        <v>35.5</v>
      </c>
      <c r="G130" s="9" t="s">
        <v>84</v>
      </c>
      <c r="H130" s="214">
        <v>233341</v>
      </c>
      <c r="I130" s="4" t="s">
        <v>946</v>
      </c>
      <c r="J130" s="217"/>
      <c r="K130" s="21">
        <v>15852</v>
      </c>
      <c r="L130" s="23">
        <f t="shared" si="22"/>
        <v>74</v>
      </c>
      <c r="M130" s="23">
        <f t="shared" si="23"/>
        <v>109.5</v>
      </c>
      <c r="N130" s="8" t="str">
        <f ca="1" t="shared" si="24"/>
        <v> </v>
      </c>
      <c r="O130" s="8" t="str">
        <f t="shared" si="18"/>
        <v> </v>
      </c>
      <c r="P130" s="8"/>
      <c r="Q130" s="2" t="s">
        <v>799</v>
      </c>
      <c r="R130" s="3">
        <v>1420</v>
      </c>
      <c r="S130" s="2" t="s">
        <v>535</v>
      </c>
      <c r="T130" s="2" t="s">
        <v>504</v>
      </c>
      <c r="U130" s="2" t="s">
        <v>643</v>
      </c>
      <c r="V130" s="9">
        <v>35.5</v>
      </c>
      <c r="W130" s="5">
        <f t="shared" si="25"/>
        <v>0</v>
      </c>
      <c r="X130" s="6">
        <f t="shared" si="26"/>
        <v>0</v>
      </c>
    </row>
    <row r="131" spans="1:24" ht="12">
      <c r="A131" s="2" t="s">
        <v>1092</v>
      </c>
      <c r="B131" s="196" t="s">
        <v>1196</v>
      </c>
      <c r="C131" s="2" t="s">
        <v>1293</v>
      </c>
      <c r="D131" s="2" t="str">
        <f t="shared" si="20"/>
        <v>Guy FONTEYNE </v>
      </c>
      <c r="E131" s="2" t="str">
        <f t="shared" si="21"/>
        <v>FONTEYNE  Guy</v>
      </c>
      <c r="F131" s="9">
        <v>30.6</v>
      </c>
      <c r="G131" s="9" t="s">
        <v>84</v>
      </c>
      <c r="H131" s="214">
        <v>227806</v>
      </c>
      <c r="I131" s="4" t="s">
        <v>947</v>
      </c>
      <c r="J131" s="217"/>
      <c r="K131" s="21">
        <v>18193</v>
      </c>
      <c r="L131" s="23">
        <f t="shared" si="22"/>
        <v>67</v>
      </c>
      <c r="M131" s="23">
        <f t="shared" si="23"/>
        <v>97.6</v>
      </c>
      <c r="N131" s="8" t="str">
        <f ca="1" t="shared" si="24"/>
        <v> </v>
      </c>
      <c r="O131" s="8" t="str">
        <f t="shared" si="18"/>
        <v> </v>
      </c>
      <c r="P131" s="8" t="s">
        <v>1540</v>
      </c>
      <c r="Q131" s="2" t="s">
        <v>800</v>
      </c>
      <c r="R131" s="3">
        <v>1420</v>
      </c>
      <c r="S131" s="2" t="s">
        <v>535</v>
      </c>
      <c r="T131" s="2"/>
      <c r="U131" s="2" t="s">
        <v>777</v>
      </c>
      <c r="V131" s="9">
        <v>30.6</v>
      </c>
      <c r="W131" s="5">
        <f t="shared" si="25"/>
        <v>0</v>
      </c>
      <c r="X131" s="6">
        <f t="shared" si="26"/>
        <v>0</v>
      </c>
    </row>
    <row r="132" spans="1:24" ht="12">
      <c r="A132" s="2" t="s">
        <v>1092</v>
      </c>
      <c r="B132" s="196" t="s">
        <v>1277</v>
      </c>
      <c r="C132" s="2" t="s">
        <v>1294</v>
      </c>
      <c r="D132" s="2" t="str">
        <f t="shared" si="20"/>
        <v>Kenneth FORSTER</v>
      </c>
      <c r="E132" s="2" t="str">
        <f t="shared" si="21"/>
        <v>FORSTER Kenneth</v>
      </c>
      <c r="F132" s="9">
        <v>23</v>
      </c>
      <c r="G132" s="9" t="s">
        <v>84</v>
      </c>
      <c r="H132" s="214">
        <v>227141</v>
      </c>
      <c r="I132" s="4" t="s">
        <v>948</v>
      </c>
      <c r="J132" s="217"/>
      <c r="K132" s="21">
        <v>18440</v>
      </c>
      <c r="L132" s="23">
        <f t="shared" si="22"/>
        <v>66</v>
      </c>
      <c r="M132" s="23">
        <f t="shared" si="23"/>
        <v>89</v>
      </c>
      <c r="N132" s="8" t="str">
        <f ca="1" t="shared" si="24"/>
        <v> </v>
      </c>
      <c r="O132" s="8" t="str">
        <f t="shared" si="18"/>
        <v> </v>
      </c>
      <c r="P132" s="8" t="s">
        <v>1540</v>
      </c>
      <c r="Q132" s="2" t="s">
        <v>801</v>
      </c>
      <c r="R132" s="3">
        <v>1310</v>
      </c>
      <c r="S132" s="2" t="s">
        <v>384</v>
      </c>
      <c r="T132" s="2" t="s">
        <v>645</v>
      </c>
      <c r="U132" s="2" t="s">
        <v>1108</v>
      </c>
      <c r="V132" s="9">
        <v>23</v>
      </c>
      <c r="W132" s="5">
        <f t="shared" si="25"/>
        <v>0</v>
      </c>
      <c r="X132" s="6">
        <f t="shared" si="26"/>
        <v>0</v>
      </c>
    </row>
    <row r="133" spans="1:24" ht="12">
      <c r="A133" s="2" t="s">
        <v>1093</v>
      </c>
      <c r="B133" s="196" t="s">
        <v>1409</v>
      </c>
      <c r="C133" s="2" t="s">
        <v>1294</v>
      </c>
      <c r="D133" s="2" t="str">
        <f t="shared" si="20"/>
        <v>Sonia FORSTER</v>
      </c>
      <c r="E133" s="2" t="str">
        <f t="shared" si="21"/>
        <v>FORSTER Sonia</v>
      </c>
      <c r="F133" s="9">
        <v>17.7</v>
      </c>
      <c r="G133" s="9" t="s">
        <v>84</v>
      </c>
      <c r="H133" s="214">
        <v>227142</v>
      </c>
      <c r="I133" s="4" t="s">
        <v>948</v>
      </c>
      <c r="J133" s="217" t="s">
        <v>1540</v>
      </c>
      <c r="K133" s="21">
        <v>14589</v>
      </c>
      <c r="L133" s="23">
        <f t="shared" si="22"/>
        <v>77</v>
      </c>
      <c r="M133" s="23">
        <f t="shared" si="23"/>
        <v>94.7</v>
      </c>
      <c r="N133" s="8" t="str">
        <f ca="1" t="shared" si="24"/>
        <v> </v>
      </c>
      <c r="O133" s="8" t="str">
        <f t="shared" si="18"/>
        <v> </v>
      </c>
      <c r="P133" s="8" t="s">
        <v>1540</v>
      </c>
      <c r="Q133" s="2" t="s">
        <v>801</v>
      </c>
      <c r="R133" s="3">
        <v>1310</v>
      </c>
      <c r="S133" s="2" t="s">
        <v>384</v>
      </c>
      <c r="T133" s="2" t="s">
        <v>645</v>
      </c>
      <c r="U133" s="2" t="s">
        <v>646</v>
      </c>
      <c r="V133" s="9">
        <v>17.7</v>
      </c>
      <c r="W133" s="5">
        <f t="shared" si="25"/>
        <v>0</v>
      </c>
      <c r="X133" s="6">
        <f t="shared" si="26"/>
        <v>0</v>
      </c>
    </row>
    <row r="134" spans="1:24" ht="12">
      <c r="A134" s="2" t="s">
        <v>1092</v>
      </c>
      <c r="B134" s="196" t="s">
        <v>1146</v>
      </c>
      <c r="C134" s="2" t="s">
        <v>1295</v>
      </c>
      <c r="D134" s="2" t="str">
        <f t="shared" si="20"/>
        <v>Michel FOURGON</v>
      </c>
      <c r="E134" s="2" t="str">
        <f t="shared" si="21"/>
        <v>FOURGON Michel</v>
      </c>
      <c r="F134" s="9">
        <v>17.6</v>
      </c>
      <c r="G134" s="9" t="s">
        <v>84</v>
      </c>
      <c r="H134" s="214">
        <v>227143</v>
      </c>
      <c r="I134" s="4" t="s">
        <v>49</v>
      </c>
      <c r="J134" s="217" t="s">
        <v>1540</v>
      </c>
      <c r="K134" s="21">
        <v>14132</v>
      </c>
      <c r="L134" s="23">
        <f t="shared" si="22"/>
        <v>78</v>
      </c>
      <c r="M134" s="23">
        <f t="shared" si="23"/>
        <v>95.6</v>
      </c>
      <c r="N134" s="8" t="str">
        <f ca="1" t="shared" si="24"/>
        <v> </v>
      </c>
      <c r="O134" s="8" t="str">
        <f t="shared" si="18"/>
        <v> </v>
      </c>
      <c r="P134" s="8" t="s">
        <v>1540</v>
      </c>
      <c r="Q134" s="2" t="s">
        <v>802</v>
      </c>
      <c r="R134" s="3">
        <v>1420</v>
      </c>
      <c r="S134" s="2" t="s">
        <v>535</v>
      </c>
      <c r="T134" s="2" t="s">
        <v>647</v>
      </c>
      <c r="U134" s="2" t="s">
        <v>648</v>
      </c>
      <c r="V134" s="9">
        <v>17.6</v>
      </c>
      <c r="W134" s="5">
        <f t="shared" si="25"/>
        <v>0</v>
      </c>
      <c r="X134" s="6">
        <f t="shared" si="26"/>
        <v>0</v>
      </c>
    </row>
    <row r="135" spans="1:24" ht="12">
      <c r="A135" s="2" t="s">
        <v>1093</v>
      </c>
      <c r="B135" s="196" t="s">
        <v>201</v>
      </c>
      <c r="C135" s="2" t="s">
        <v>202</v>
      </c>
      <c r="D135" s="2" t="str">
        <f>B135&amp;" "&amp;C135</f>
        <v>Latifa FRATERS</v>
      </c>
      <c r="E135" s="2" t="str">
        <f>C135&amp;" "&amp;B135</f>
        <v>FRATERS Latifa</v>
      </c>
      <c r="F135" s="9">
        <v>26.9</v>
      </c>
      <c r="G135" s="9" t="s">
        <v>84</v>
      </c>
      <c r="H135" s="214">
        <v>703141</v>
      </c>
      <c r="I135" s="4" t="s">
        <v>203</v>
      </c>
      <c r="J135" s="217" t="s">
        <v>1540</v>
      </c>
      <c r="K135" s="21">
        <v>20271</v>
      </c>
      <c r="L135" s="23">
        <f>YEAR(jourdhui)-YEAR(K135)-IF(MONTH(K135)&gt;MONTH(jourdhui),1,0)-(IF(MONTH(K135)=MONTH(jourdhui),1,0)*IF(DAY(K135)&gt;DAY(jourdhui),1,0))</f>
        <v>61</v>
      </c>
      <c r="M135" s="23">
        <f>L135+F135</f>
        <v>87.9</v>
      </c>
      <c r="N135" s="8" t="str">
        <f ca="1">IF((IF(DAY(K135)=DAY(TODAY()),1,0)+IF(MONTH(K135)=MONTH(TODAY()),1,0))=2,"y"," ")</f>
        <v> </v>
      </c>
      <c r="O135" s="8" t="str">
        <f>IF((IF(DAY(K135)=DAY(dc),1,0)+IF(MONTH(K135)=MONTH(dc),1,0))=2,"y"," ")</f>
        <v> </v>
      </c>
      <c r="P135" s="8"/>
      <c r="Q135" s="2" t="s">
        <v>275</v>
      </c>
      <c r="R135" s="3">
        <v>1410</v>
      </c>
      <c r="S135" s="2" t="s">
        <v>534</v>
      </c>
      <c r="T135" s="2" t="s">
        <v>781</v>
      </c>
      <c r="U135" s="2" t="s">
        <v>782</v>
      </c>
      <c r="V135" s="9">
        <v>26.9</v>
      </c>
      <c r="W135" s="5">
        <f>F135-V135</f>
        <v>0</v>
      </c>
      <c r="X135" s="6">
        <f>(V135-F135)/V135</f>
        <v>0</v>
      </c>
    </row>
    <row r="136" spans="1:24" ht="12">
      <c r="A136" s="2" t="s">
        <v>1093</v>
      </c>
      <c r="B136" s="196" t="s">
        <v>1265</v>
      </c>
      <c r="C136" s="2" t="s">
        <v>150</v>
      </c>
      <c r="D136" s="2" t="str">
        <f t="shared" si="20"/>
        <v>Ines FREISBERG-THITEUX </v>
      </c>
      <c r="E136" s="2" t="str">
        <f t="shared" si="21"/>
        <v>FREISBERG-THITEUX  Ines</v>
      </c>
      <c r="F136" s="9">
        <v>33.1</v>
      </c>
      <c r="G136" s="9" t="s">
        <v>84</v>
      </c>
      <c r="H136" s="214">
        <v>709970</v>
      </c>
      <c r="I136" s="4" t="s">
        <v>1051</v>
      </c>
      <c r="J136" s="217" t="s">
        <v>1540</v>
      </c>
      <c r="K136" s="21">
        <v>20696</v>
      </c>
      <c r="L136" s="23">
        <f t="shared" si="22"/>
        <v>60</v>
      </c>
      <c r="M136" s="23">
        <f t="shared" si="23"/>
        <v>93.1</v>
      </c>
      <c r="N136" s="8" t="str">
        <f ca="1" t="shared" si="24"/>
        <v> </v>
      </c>
      <c r="O136" s="8" t="str">
        <f t="shared" si="18"/>
        <v> </v>
      </c>
      <c r="P136" s="8"/>
      <c r="Q136" s="2" t="s">
        <v>206</v>
      </c>
      <c r="R136" s="3">
        <v>1410</v>
      </c>
      <c r="S136" s="2" t="s">
        <v>535</v>
      </c>
      <c r="T136" s="2" t="s">
        <v>204</v>
      </c>
      <c r="U136" s="2" t="s">
        <v>782</v>
      </c>
      <c r="V136" s="9">
        <v>33.1</v>
      </c>
      <c r="W136" s="5">
        <f t="shared" si="25"/>
        <v>0</v>
      </c>
      <c r="X136" s="6">
        <f t="shared" si="26"/>
        <v>0</v>
      </c>
    </row>
    <row r="137" spans="1:24" ht="12">
      <c r="A137" s="2" t="s">
        <v>1092</v>
      </c>
      <c r="B137" s="196" t="s">
        <v>1252</v>
      </c>
      <c r="C137" s="2" t="s">
        <v>128</v>
      </c>
      <c r="D137" s="2" t="str">
        <f t="shared" si="20"/>
        <v>Etienne FRISQUE</v>
      </c>
      <c r="E137" s="2" t="str">
        <f t="shared" si="21"/>
        <v>FRISQUE Etienne</v>
      </c>
      <c r="F137" s="9">
        <v>36</v>
      </c>
      <c r="G137" s="9"/>
      <c r="H137" s="214">
        <v>715398</v>
      </c>
      <c r="I137" s="4" t="s">
        <v>130</v>
      </c>
      <c r="J137" s="217" t="s">
        <v>1540</v>
      </c>
      <c r="K137" s="21">
        <v>16881</v>
      </c>
      <c r="L137" s="23">
        <f t="shared" si="22"/>
        <v>71</v>
      </c>
      <c r="M137" s="23">
        <f t="shared" si="23"/>
        <v>107</v>
      </c>
      <c r="N137" s="8" t="str">
        <f ca="1" t="shared" si="24"/>
        <v> </v>
      </c>
      <c r="O137" s="8" t="str">
        <f t="shared" si="18"/>
        <v> </v>
      </c>
      <c r="P137" s="8" t="s">
        <v>1540</v>
      </c>
      <c r="Q137" s="2" t="s">
        <v>177</v>
      </c>
      <c r="R137" s="3">
        <v>1420</v>
      </c>
      <c r="S137" s="2" t="s">
        <v>546</v>
      </c>
      <c r="T137" s="2" t="s">
        <v>131</v>
      </c>
      <c r="U137" s="2" t="s">
        <v>205</v>
      </c>
      <c r="V137" s="9">
        <v>36</v>
      </c>
      <c r="W137" s="5">
        <f t="shared" si="25"/>
        <v>0</v>
      </c>
      <c r="X137" s="6">
        <f t="shared" si="26"/>
        <v>0</v>
      </c>
    </row>
    <row r="138" spans="1:24" ht="12">
      <c r="A138" s="2" t="s">
        <v>1092</v>
      </c>
      <c r="B138" s="196" t="s">
        <v>1221</v>
      </c>
      <c r="C138" s="2" t="s">
        <v>1296</v>
      </c>
      <c r="D138" s="2" t="str">
        <f t="shared" si="20"/>
        <v>Robert FURDELLE</v>
      </c>
      <c r="E138" s="2" t="str">
        <f t="shared" si="21"/>
        <v>FURDELLE Robert</v>
      </c>
      <c r="F138" s="9">
        <v>25.1</v>
      </c>
      <c r="G138" s="9" t="s">
        <v>84</v>
      </c>
      <c r="H138" s="214">
        <v>227155</v>
      </c>
      <c r="I138" s="4" t="s">
        <v>949</v>
      </c>
      <c r="J138" s="217" t="s">
        <v>1540</v>
      </c>
      <c r="K138" s="21">
        <v>16706</v>
      </c>
      <c r="L138" s="23">
        <f t="shared" si="22"/>
        <v>71</v>
      </c>
      <c r="M138" s="23">
        <f t="shared" si="23"/>
        <v>96.1</v>
      </c>
      <c r="N138" s="8" t="str">
        <f ca="1" t="shared" si="24"/>
        <v> </v>
      </c>
      <c r="O138" s="8" t="str">
        <f t="shared" si="18"/>
        <v> </v>
      </c>
      <c r="P138" s="8" t="s">
        <v>1540</v>
      </c>
      <c r="Q138" s="2" t="s">
        <v>803</v>
      </c>
      <c r="R138" s="3">
        <v>1410</v>
      </c>
      <c r="S138" s="2" t="s">
        <v>534</v>
      </c>
      <c r="T138" s="2" t="s">
        <v>649</v>
      </c>
      <c r="U138" s="2" t="s">
        <v>686</v>
      </c>
      <c r="V138" s="9">
        <v>25.1</v>
      </c>
      <c r="W138" s="5">
        <f t="shared" si="25"/>
        <v>0</v>
      </c>
      <c r="X138" s="6">
        <f t="shared" si="26"/>
        <v>0</v>
      </c>
    </row>
    <row r="139" spans="1:24" ht="12">
      <c r="A139" s="2" t="s">
        <v>1093</v>
      </c>
      <c r="B139" s="196" t="s">
        <v>1273</v>
      </c>
      <c r="C139" s="2" t="s">
        <v>1767</v>
      </c>
      <c r="D139" s="2" t="str">
        <f t="shared" si="20"/>
        <v>Marie GAILLY</v>
      </c>
      <c r="E139" s="2" t="str">
        <f t="shared" si="21"/>
        <v>GAILLY Marie</v>
      </c>
      <c r="F139" s="9">
        <v>26.5</v>
      </c>
      <c r="G139" s="9" t="s">
        <v>84</v>
      </c>
      <c r="H139" s="214">
        <v>200298</v>
      </c>
      <c r="I139" s="4" t="s">
        <v>1813</v>
      </c>
      <c r="J139" s="217"/>
      <c r="K139" s="21">
        <v>17112</v>
      </c>
      <c r="L139" s="23">
        <f t="shared" si="22"/>
        <v>70</v>
      </c>
      <c r="M139" s="23"/>
      <c r="N139" s="8" t="str">
        <f ca="1" t="shared" si="24"/>
        <v> </v>
      </c>
      <c r="O139" s="8" t="str">
        <f t="shared" si="18"/>
        <v> </v>
      </c>
      <c r="P139" s="8" t="s">
        <v>1540</v>
      </c>
      <c r="Q139" s="2" t="s">
        <v>1814</v>
      </c>
      <c r="R139" s="3">
        <v>1420</v>
      </c>
      <c r="S139" s="2" t="s">
        <v>535</v>
      </c>
      <c r="T139" s="2" t="s">
        <v>1815</v>
      </c>
      <c r="U139" s="2"/>
      <c r="V139" s="9">
        <v>26.5</v>
      </c>
      <c r="W139" s="5">
        <f t="shared" si="25"/>
        <v>0</v>
      </c>
      <c r="X139" s="6">
        <f t="shared" si="26"/>
        <v>0</v>
      </c>
    </row>
    <row r="140" spans="1:24" ht="12">
      <c r="A140" s="2" t="s">
        <v>1093</v>
      </c>
      <c r="B140" s="196" t="s">
        <v>1234</v>
      </c>
      <c r="C140" s="2" t="s">
        <v>1297</v>
      </c>
      <c r="D140" s="2" t="str">
        <f t="shared" si="20"/>
        <v>Anne-Marie GARNIER </v>
      </c>
      <c r="E140" s="2" t="str">
        <f t="shared" si="21"/>
        <v>GARNIER  Anne-Marie</v>
      </c>
      <c r="F140" s="9">
        <v>27.299999237060547</v>
      </c>
      <c r="G140" s="9" t="s">
        <v>84</v>
      </c>
      <c r="H140" s="214">
        <v>712090</v>
      </c>
      <c r="I140" s="4" t="s">
        <v>950</v>
      </c>
      <c r="J140" s="217"/>
      <c r="K140" s="21">
        <v>15457</v>
      </c>
      <c r="L140" s="23">
        <f t="shared" si="22"/>
        <v>75</v>
      </c>
      <c r="M140" s="23">
        <f aca="true" t="shared" si="27" ref="M140:M171">L140+F140</f>
        <v>102.29999923706055</v>
      </c>
      <c r="N140" s="8" t="str">
        <f ca="1" t="shared" si="24"/>
        <v> </v>
      </c>
      <c r="O140" s="8" t="str">
        <f t="shared" si="18"/>
        <v> </v>
      </c>
      <c r="P140" s="8"/>
      <c r="Q140" s="2" t="s">
        <v>804</v>
      </c>
      <c r="R140" s="3">
        <v>1180</v>
      </c>
      <c r="S140" s="2" t="s">
        <v>546</v>
      </c>
      <c r="T140" s="2" t="s">
        <v>760</v>
      </c>
      <c r="U140" s="2" t="s">
        <v>761</v>
      </c>
      <c r="V140" s="9">
        <v>27.299999237060547</v>
      </c>
      <c r="W140" s="5">
        <f t="shared" si="25"/>
        <v>0</v>
      </c>
      <c r="X140" s="6">
        <f t="shared" si="26"/>
        <v>0</v>
      </c>
    </row>
    <row r="141" spans="1:24" ht="12">
      <c r="A141" s="2" t="s">
        <v>1092</v>
      </c>
      <c r="B141" s="196" t="s">
        <v>1278</v>
      </c>
      <c r="C141" s="2" t="s">
        <v>1298</v>
      </c>
      <c r="D141" s="2" t="str">
        <f t="shared" si="20"/>
        <v>Axel GEELHAND de MERXEM </v>
      </c>
      <c r="E141" s="2" t="str">
        <f t="shared" si="21"/>
        <v>GEELHAND de MERXEM  Axel</v>
      </c>
      <c r="F141" s="9">
        <v>19.2</v>
      </c>
      <c r="G141" s="9" t="s">
        <v>84</v>
      </c>
      <c r="H141" s="214">
        <v>227165</v>
      </c>
      <c r="I141" s="4" t="s">
        <v>951</v>
      </c>
      <c r="J141" s="217" t="s">
        <v>1540</v>
      </c>
      <c r="K141" s="21">
        <v>17482</v>
      </c>
      <c r="L141" s="23">
        <f t="shared" si="22"/>
        <v>69</v>
      </c>
      <c r="M141" s="23">
        <f t="shared" si="27"/>
        <v>88.2</v>
      </c>
      <c r="N141" s="8" t="str">
        <f ca="1" t="shared" si="24"/>
        <v> </v>
      </c>
      <c r="O141" s="8" t="str">
        <f t="shared" si="18"/>
        <v> </v>
      </c>
      <c r="P141" s="8" t="s">
        <v>1540</v>
      </c>
      <c r="Q141" s="2" t="s">
        <v>805</v>
      </c>
      <c r="R141" s="3">
        <v>1640</v>
      </c>
      <c r="S141" s="2" t="s">
        <v>345</v>
      </c>
      <c r="T141" s="2" t="s">
        <v>467</v>
      </c>
      <c r="U141" s="2" t="s">
        <v>494</v>
      </c>
      <c r="V141" s="9">
        <v>19.2</v>
      </c>
      <c r="W141" s="5">
        <f t="shared" si="25"/>
        <v>0</v>
      </c>
      <c r="X141" s="6">
        <f t="shared" si="26"/>
        <v>0</v>
      </c>
    </row>
    <row r="142" spans="1:24" ht="12">
      <c r="A142" s="2" t="s">
        <v>1093</v>
      </c>
      <c r="B142" s="196" t="s">
        <v>1279</v>
      </c>
      <c r="C142" s="2" t="s">
        <v>1298</v>
      </c>
      <c r="D142" s="2" t="str">
        <f t="shared" si="20"/>
        <v>Yveline GEELHAND de MERXEM </v>
      </c>
      <c r="E142" s="2" t="str">
        <f t="shared" si="21"/>
        <v>GEELHAND de MERXEM  Yveline</v>
      </c>
      <c r="F142" s="9">
        <v>10</v>
      </c>
      <c r="G142" s="9" t="s">
        <v>84</v>
      </c>
      <c r="H142" s="214">
        <v>227168</v>
      </c>
      <c r="I142" s="4" t="s">
        <v>952</v>
      </c>
      <c r="J142" s="217"/>
      <c r="K142" s="21">
        <v>18138</v>
      </c>
      <c r="L142" s="23">
        <f t="shared" si="22"/>
        <v>67</v>
      </c>
      <c r="M142" s="23">
        <f t="shared" si="27"/>
        <v>77</v>
      </c>
      <c r="N142" s="8" t="str">
        <f ca="1" t="shared" si="24"/>
        <v> </v>
      </c>
      <c r="O142" s="8" t="str">
        <f t="shared" si="18"/>
        <v> </v>
      </c>
      <c r="P142" s="8"/>
      <c r="Q142" s="2" t="s">
        <v>805</v>
      </c>
      <c r="R142" s="3">
        <v>1640</v>
      </c>
      <c r="S142" s="2" t="s">
        <v>345</v>
      </c>
      <c r="T142" s="2" t="s">
        <v>467</v>
      </c>
      <c r="U142" s="2" t="s">
        <v>468</v>
      </c>
      <c r="V142" s="9">
        <v>10</v>
      </c>
      <c r="W142" s="5">
        <f t="shared" si="25"/>
        <v>0</v>
      </c>
      <c r="X142" s="6">
        <f t="shared" si="26"/>
        <v>0</v>
      </c>
    </row>
    <row r="143" spans="1:24" ht="12">
      <c r="A143" s="2" t="s">
        <v>1092</v>
      </c>
      <c r="B143" s="196" t="s">
        <v>1166</v>
      </c>
      <c r="C143" s="2" t="s">
        <v>1316</v>
      </c>
      <c r="D143" s="2" t="str">
        <f t="shared" si="20"/>
        <v>Francis GERSDORFF</v>
      </c>
      <c r="E143" s="2" t="str">
        <f t="shared" si="21"/>
        <v>GERSDORFF Francis</v>
      </c>
      <c r="F143" s="9">
        <v>14.3</v>
      </c>
      <c r="G143" s="9" t="s">
        <v>84</v>
      </c>
      <c r="H143" s="214">
        <v>227178</v>
      </c>
      <c r="I143" s="4" t="s">
        <v>953</v>
      </c>
      <c r="J143" s="217" t="s">
        <v>1540</v>
      </c>
      <c r="K143" s="21">
        <v>18083</v>
      </c>
      <c r="L143" s="23">
        <f t="shared" si="22"/>
        <v>67</v>
      </c>
      <c r="M143" s="23">
        <f t="shared" si="27"/>
        <v>81.3</v>
      </c>
      <c r="N143" s="8" t="str">
        <f ca="1" t="shared" si="24"/>
        <v> </v>
      </c>
      <c r="O143" s="8" t="str">
        <f t="shared" si="18"/>
        <v> </v>
      </c>
      <c r="P143" s="8"/>
      <c r="Q143" s="2" t="s">
        <v>806</v>
      </c>
      <c r="R143" s="3">
        <v>1640</v>
      </c>
      <c r="S143" s="2" t="s">
        <v>345</v>
      </c>
      <c r="T143" s="2" t="s">
        <v>736</v>
      </c>
      <c r="U143" s="2" t="s">
        <v>737</v>
      </c>
      <c r="V143" s="9">
        <v>14.3</v>
      </c>
      <c r="W143" s="5">
        <f t="shared" si="25"/>
        <v>0</v>
      </c>
      <c r="X143" s="6">
        <f t="shared" si="26"/>
        <v>0</v>
      </c>
    </row>
    <row r="144" spans="1:24" ht="12">
      <c r="A144" s="2" t="s">
        <v>1093</v>
      </c>
      <c r="B144" s="196" t="s">
        <v>1406</v>
      </c>
      <c r="C144" s="2" t="s">
        <v>1775</v>
      </c>
      <c r="D144" s="2" t="str">
        <f t="shared" si="20"/>
        <v>Dominique GHORAIN</v>
      </c>
      <c r="E144" s="2" t="str">
        <f t="shared" si="21"/>
        <v>GHORAIN Dominique</v>
      </c>
      <c r="F144" s="9">
        <v>27.3</v>
      </c>
      <c r="G144" s="9" t="s">
        <v>84</v>
      </c>
      <c r="H144" s="214">
        <v>227183</v>
      </c>
      <c r="I144" s="4" t="s">
        <v>1781</v>
      </c>
      <c r="J144" s="217"/>
      <c r="K144" s="21">
        <v>20529</v>
      </c>
      <c r="L144" s="23">
        <f t="shared" si="22"/>
        <v>61</v>
      </c>
      <c r="M144" s="23">
        <f t="shared" si="27"/>
        <v>88.3</v>
      </c>
      <c r="N144" s="8" t="str">
        <f ca="1" t="shared" si="24"/>
        <v> </v>
      </c>
      <c r="O144" s="8" t="str">
        <f t="shared" si="18"/>
        <v> </v>
      </c>
      <c r="P144" s="8" t="s">
        <v>1540</v>
      </c>
      <c r="Q144" s="2" t="s">
        <v>1776</v>
      </c>
      <c r="R144" s="3">
        <v>1640</v>
      </c>
      <c r="S144" s="2" t="s">
        <v>345</v>
      </c>
      <c r="T144" s="2" t="s">
        <v>1777</v>
      </c>
      <c r="U144" s="2" t="s">
        <v>1778</v>
      </c>
      <c r="V144" s="9">
        <v>27.3</v>
      </c>
      <c r="W144" s="5">
        <f t="shared" si="25"/>
        <v>0</v>
      </c>
      <c r="X144" s="6">
        <f t="shared" si="26"/>
        <v>0</v>
      </c>
    </row>
    <row r="145" spans="1:24" ht="12">
      <c r="A145" s="2" t="s">
        <v>1092</v>
      </c>
      <c r="B145" s="196" t="s">
        <v>1301</v>
      </c>
      <c r="C145" s="2" t="s">
        <v>1317</v>
      </c>
      <c r="D145" s="2" t="str">
        <f t="shared" si="20"/>
        <v>André GHUYS </v>
      </c>
      <c r="E145" s="2" t="str">
        <f t="shared" si="21"/>
        <v>GHUYS  André</v>
      </c>
      <c r="F145" s="9">
        <v>28.4</v>
      </c>
      <c r="G145" s="9" t="s">
        <v>84</v>
      </c>
      <c r="H145" s="214">
        <v>260928</v>
      </c>
      <c r="I145" s="4" t="s">
        <v>1877</v>
      </c>
      <c r="J145" s="217" t="s">
        <v>1540</v>
      </c>
      <c r="K145" s="21">
        <v>13001</v>
      </c>
      <c r="L145" s="23">
        <f t="shared" si="22"/>
        <v>81</v>
      </c>
      <c r="M145" s="23">
        <f t="shared" si="27"/>
        <v>109.4</v>
      </c>
      <c r="N145" s="8" t="str">
        <f ca="1" t="shared" si="24"/>
        <v> </v>
      </c>
      <c r="O145" s="8" t="str">
        <f t="shared" si="18"/>
        <v> </v>
      </c>
      <c r="P145" s="8"/>
      <c r="Q145" s="2" t="s">
        <v>807</v>
      </c>
      <c r="R145" s="3">
        <v>1180</v>
      </c>
      <c r="S145" s="2" t="s">
        <v>546</v>
      </c>
      <c r="T145" s="2" t="s">
        <v>652</v>
      </c>
      <c r="U145" s="2"/>
      <c r="V145" s="9">
        <v>28.4</v>
      </c>
      <c r="W145" s="5">
        <f t="shared" si="25"/>
        <v>0</v>
      </c>
      <c r="X145" s="6">
        <f t="shared" si="26"/>
        <v>0</v>
      </c>
    </row>
    <row r="146" spans="1:24" ht="12">
      <c r="A146" s="2" t="s">
        <v>1093</v>
      </c>
      <c r="B146" s="196" t="s">
        <v>1234</v>
      </c>
      <c r="C146" s="2" t="s">
        <v>1317</v>
      </c>
      <c r="D146" s="2" t="str">
        <f t="shared" si="20"/>
        <v>Anne-Marie GHUYS </v>
      </c>
      <c r="E146" s="2" t="str">
        <f t="shared" si="21"/>
        <v>GHUYS  Anne-Marie</v>
      </c>
      <c r="F146" s="9">
        <v>14.2</v>
      </c>
      <c r="G146" s="9" t="s">
        <v>84</v>
      </c>
      <c r="H146" s="214">
        <v>260929</v>
      </c>
      <c r="I146" s="4" t="s">
        <v>1877</v>
      </c>
      <c r="J146" s="217" t="s">
        <v>1540</v>
      </c>
      <c r="K146" s="21">
        <v>17783</v>
      </c>
      <c r="L146" s="23">
        <f t="shared" si="22"/>
        <v>68</v>
      </c>
      <c r="M146" s="23">
        <f t="shared" si="27"/>
        <v>82.2</v>
      </c>
      <c r="N146" s="8" t="str">
        <f ca="1" t="shared" si="24"/>
        <v> </v>
      </c>
      <c r="O146" s="8" t="str">
        <f t="shared" si="18"/>
        <v> </v>
      </c>
      <c r="P146" s="8"/>
      <c r="Q146" s="2" t="s">
        <v>807</v>
      </c>
      <c r="R146" s="3">
        <v>1180</v>
      </c>
      <c r="S146" s="2" t="s">
        <v>546</v>
      </c>
      <c r="T146" s="2" t="s">
        <v>652</v>
      </c>
      <c r="U146" s="2" t="s">
        <v>653</v>
      </c>
      <c r="V146" s="9">
        <v>14.2</v>
      </c>
      <c r="W146" s="5">
        <f t="shared" si="25"/>
        <v>0</v>
      </c>
      <c r="X146" s="6">
        <f t="shared" si="26"/>
        <v>0</v>
      </c>
    </row>
    <row r="147" spans="1:24" ht="12">
      <c r="A147" s="2" t="s">
        <v>1092</v>
      </c>
      <c r="B147" s="196" t="s">
        <v>1221</v>
      </c>
      <c r="C147" s="2" t="s">
        <v>1878</v>
      </c>
      <c r="D147" s="2" t="str">
        <f t="shared" si="20"/>
        <v>Robert GILLEROT</v>
      </c>
      <c r="E147" s="2" t="str">
        <f t="shared" si="21"/>
        <v>GILLEROT Robert</v>
      </c>
      <c r="F147" s="9">
        <v>24.3</v>
      </c>
      <c r="G147" s="9" t="s">
        <v>84</v>
      </c>
      <c r="H147" s="214">
        <v>702703</v>
      </c>
      <c r="I147" s="4" t="s">
        <v>1981</v>
      </c>
      <c r="J147" s="217" t="s">
        <v>1540</v>
      </c>
      <c r="K147" s="21">
        <v>16718</v>
      </c>
      <c r="L147" s="23">
        <f t="shared" si="22"/>
        <v>71</v>
      </c>
      <c r="M147" s="23">
        <f t="shared" si="27"/>
        <v>95.3</v>
      </c>
      <c r="N147" s="8" t="str">
        <f ca="1" t="shared" si="24"/>
        <v> </v>
      </c>
      <c r="O147" s="8" t="str">
        <f t="shared" si="18"/>
        <v> </v>
      </c>
      <c r="P147" s="8"/>
      <c r="Q147" s="2" t="s">
        <v>1880</v>
      </c>
      <c r="R147" s="3">
        <v>1652</v>
      </c>
      <c r="S147" s="2" t="s">
        <v>542</v>
      </c>
      <c r="T147" s="2"/>
      <c r="U147" s="2" t="s">
        <v>1881</v>
      </c>
      <c r="V147" s="9">
        <v>24.3</v>
      </c>
      <c r="W147" s="5">
        <f t="shared" si="25"/>
        <v>0</v>
      </c>
      <c r="X147" s="6">
        <f t="shared" si="26"/>
        <v>0</v>
      </c>
    </row>
    <row r="148" spans="1:24" ht="12">
      <c r="A148" s="2" t="s">
        <v>1092</v>
      </c>
      <c r="B148" s="196" t="s">
        <v>1302</v>
      </c>
      <c r="C148" s="2" t="s">
        <v>1318</v>
      </c>
      <c r="D148" s="2" t="str">
        <f t="shared" si="20"/>
        <v>Jean-François GILLES</v>
      </c>
      <c r="E148" s="2" t="str">
        <f t="shared" si="21"/>
        <v>GILLES Jean-François</v>
      </c>
      <c r="F148" s="9">
        <v>12.7</v>
      </c>
      <c r="G148" s="9" t="s">
        <v>84</v>
      </c>
      <c r="H148" s="214">
        <v>101774</v>
      </c>
      <c r="I148" s="4" t="s">
        <v>955</v>
      </c>
      <c r="J148" s="217" t="s">
        <v>1540</v>
      </c>
      <c r="K148" s="21">
        <v>16926</v>
      </c>
      <c r="L148" s="23">
        <f t="shared" si="22"/>
        <v>71</v>
      </c>
      <c r="M148" s="23">
        <f t="shared" si="27"/>
        <v>83.7</v>
      </c>
      <c r="N148" s="8" t="str">
        <f ca="1" t="shared" si="24"/>
        <v> </v>
      </c>
      <c r="O148" s="8" t="str">
        <f t="shared" si="18"/>
        <v> </v>
      </c>
      <c r="P148" s="8" t="s">
        <v>1540</v>
      </c>
      <c r="Q148" s="2" t="s">
        <v>808</v>
      </c>
      <c r="R148" s="3">
        <v>1180</v>
      </c>
      <c r="S148" s="2" t="s">
        <v>546</v>
      </c>
      <c r="T148" s="2" t="s">
        <v>654</v>
      </c>
      <c r="U148" s="2" t="s">
        <v>389</v>
      </c>
      <c r="V148" s="9">
        <v>12.7</v>
      </c>
      <c r="W148" s="5">
        <f t="shared" si="25"/>
        <v>0</v>
      </c>
      <c r="X148" s="6">
        <f t="shared" si="26"/>
        <v>0</v>
      </c>
    </row>
    <row r="149" spans="1:24" ht="12">
      <c r="A149" s="2" t="s">
        <v>1093</v>
      </c>
      <c r="B149" s="196" t="s">
        <v>1169</v>
      </c>
      <c r="C149" s="2" t="s">
        <v>1318</v>
      </c>
      <c r="D149" s="2" t="str">
        <f t="shared" si="20"/>
        <v>Martine GILLES</v>
      </c>
      <c r="E149" s="2" t="str">
        <f t="shared" si="21"/>
        <v>GILLES Martine</v>
      </c>
      <c r="F149" s="9">
        <v>11.8</v>
      </c>
      <c r="G149" s="9" t="s">
        <v>84</v>
      </c>
      <c r="H149" s="214">
        <v>101775</v>
      </c>
      <c r="I149" s="4" t="s">
        <v>956</v>
      </c>
      <c r="J149" s="217" t="s">
        <v>1540</v>
      </c>
      <c r="K149" s="21">
        <v>17022</v>
      </c>
      <c r="L149" s="23">
        <f t="shared" si="22"/>
        <v>70</v>
      </c>
      <c r="M149" s="23">
        <f t="shared" si="27"/>
        <v>81.8</v>
      </c>
      <c r="N149" s="8" t="str">
        <f ca="1" t="shared" si="24"/>
        <v> </v>
      </c>
      <c r="O149" s="8" t="str">
        <f t="shared" si="18"/>
        <v> </v>
      </c>
      <c r="P149" s="8" t="s">
        <v>1540</v>
      </c>
      <c r="Q149" s="2" t="s">
        <v>808</v>
      </c>
      <c r="R149" s="3">
        <v>1180</v>
      </c>
      <c r="S149" s="2" t="s">
        <v>546</v>
      </c>
      <c r="T149" s="2" t="s">
        <v>654</v>
      </c>
      <c r="U149" s="2" t="s">
        <v>655</v>
      </c>
      <c r="V149" s="9">
        <v>11.8</v>
      </c>
      <c r="W149" s="5">
        <f t="shared" si="25"/>
        <v>0</v>
      </c>
      <c r="X149" s="6">
        <f t="shared" si="26"/>
        <v>0</v>
      </c>
    </row>
    <row r="150" spans="1:24" ht="12">
      <c r="A150" s="2" t="s">
        <v>1092</v>
      </c>
      <c r="B150" s="196" t="s">
        <v>1232</v>
      </c>
      <c r="C150" s="2" t="s">
        <v>1318</v>
      </c>
      <c r="D150" s="2" t="str">
        <f t="shared" si="20"/>
        <v>Patrick GILLES</v>
      </c>
      <c r="E150" s="2" t="str">
        <f t="shared" si="21"/>
        <v>GILLES Patrick</v>
      </c>
      <c r="F150" s="9">
        <v>18.6</v>
      </c>
      <c r="G150" s="9" t="s">
        <v>84</v>
      </c>
      <c r="H150" s="214">
        <v>227188</v>
      </c>
      <c r="I150" s="4" t="s">
        <v>957</v>
      </c>
      <c r="J150" s="217" t="s">
        <v>1540</v>
      </c>
      <c r="K150" s="21">
        <v>16337</v>
      </c>
      <c r="L150" s="23">
        <f t="shared" si="22"/>
        <v>72</v>
      </c>
      <c r="M150" s="23">
        <f t="shared" si="27"/>
        <v>90.6</v>
      </c>
      <c r="N150" s="8" t="str">
        <f ca="1" t="shared" si="24"/>
        <v> </v>
      </c>
      <c r="O150" s="8" t="str">
        <f t="shared" si="18"/>
        <v> </v>
      </c>
      <c r="P150" s="8" t="s">
        <v>1540</v>
      </c>
      <c r="Q150" s="2" t="s">
        <v>809</v>
      </c>
      <c r="R150" s="3">
        <v>1180</v>
      </c>
      <c r="S150" s="2" t="s">
        <v>546</v>
      </c>
      <c r="T150" s="2"/>
      <c r="U150" s="2" t="s">
        <v>656</v>
      </c>
      <c r="V150" s="9">
        <v>18.6</v>
      </c>
      <c r="W150" s="5">
        <f t="shared" si="25"/>
        <v>0</v>
      </c>
      <c r="X150" s="6">
        <f t="shared" si="26"/>
        <v>0</v>
      </c>
    </row>
    <row r="151" spans="1:24" ht="12">
      <c r="A151" s="2" t="s">
        <v>1092</v>
      </c>
      <c r="B151" s="196" t="s">
        <v>1218</v>
      </c>
      <c r="C151" s="2" t="s">
        <v>1319</v>
      </c>
      <c r="D151" s="2" t="str">
        <f t="shared" si="20"/>
        <v>Jean GILLET</v>
      </c>
      <c r="E151" s="2" t="str">
        <f t="shared" si="21"/>
        <v>GILLET Jean</v>
      </c>
      <c r="F151" s="9">
        <v>18.5</v>
      </c>
      <c r="G151" s="9" t="s">
        <v>84</v>
      </c>
      <c r="H151" s="214">
        <v>227189</v>
      </c>
      <c r="I151" s="4" t="s">
        <v>958</v>
      </c>
      <c r="J151" s="217" t="s">
        <v>1540</v>
      </c>
      <c r="K151" s="21">
        <v>13669</v>
      </c>
      <c r="L151" s="23">
        <f t="shared" si="22"/>
        <v>80</v>
      </c>
      <c r="M151" s="23">
        <f t="shared" si="27"/>
        <v>98.5</v>
      </c>
      <c r="N151" s="8" t="str">
        <f ca="1" t="shared" si="24"/>
        <v> </v>
      </c>
      <c r="O151" s="8" t="str">
        <f t="shared" si="18"/>
        <v> </v>
      </c>
      <c r="P151" s="8" t="s">
        <v>1540</v>
      </c>
      <c r="Q151" s="2" t="s">
        <v>810</v>
      </c>
      <c r="R151" s="3">
        <v>1180</v>
      </c>
      <c r="S151" s="2" t="s">
        <v>546</v>
      </c>
      <c r="T151" s="2"/>
      <c r="U151" s="2" t="s">
        <v>679</v>
      </c>
      <c r="V151" s="9">
        <v>18.5</v>
      </c>
      <c r="W151" s="5">
        <f t="shared" si="25"/>
        <v>0</v>
      </c>
      <c r="X151" s="6">
        <f t="shared" si="26"/>
        <v>0</v>
      </c>
    </row>
    <row r="152" spans="1:24" ht="12">
      <c r="A152" s="2" t="s">
        <v>1093</v>
      </c>
      <c r="B152" s="196" t="s">
        <v>1303</v>
      </c>
      <c r="C152" s="2" t="s">
        <v>1320</v>
      </c>
      <c r="D152" s="2" t="str">
        <f t="shared" si="20"/>
        <v>Nicole GILLET </v>
      </c>
      <c r="E152" s="2" t="str">
        <f t="shared" si="21"/>
        <v>GILLET  Nicole</v>
      </c>
      <c r="F152" s="9">
        <v>31.8</v>
      </c>
      <c r="G152" s="9" t="s">
        <v>84</v>
      </c>
      <c r="H152" s="214">
        <v>227190</v>
      </c>
      <c r="I152" s="4" t="s">
        <v>958</v>
      </c>
      <c r="J152" s="217" t="s">
        <v>1540</v>
      </c>
      <c r="K152" s="21">
        <v>15316</v>
      </c>
      <c r="L152" s="23">
        <f t="shared" si="22"/>
        <v>75</v>
      </c>
      <c r="M152" s="23">
        <f t="shared" si="27"/>
        <v>106.8</v>
      </c>
      <c r="N152" s="8" t="str">
        <f ca="1" t="shared" si="24"/>
        <v> </v>
      </c>
      <c r="O152" s="8" t="str">
        <f t="shared" si="18"/>
        <v> </v>
      </c>
      <c r="P152" s="8" t="s">
        <v>1540</v>
      </c>
      <c r="Q152" s="2" t="s">
        <v>810</v>
      </c>
      <c r="R152" s="3">
        <v>1180</v>
      </c>
      <c r="S152" s="2" t="s">
        <v>546</v>
      </c>
      <c r="T152" s="2" t="s">
        <v>657</v>
      </c>
      <c r="U152" s="2" t="s">
        <v>390</v>
      </c>
      <c r="V152" s="9">
        <v>31.8</v>
      </c>
      <c r="W152" s="5">
        <f t="shared" si="25"/>
        <v>0</v>
      </c>
      <c r="X152" s="6">
        <f t="shared" si="26"/>
        <v>0</v>
      </c>
    </row>
    <row r="153" spans="1:24" ht="12">
      <c r="A153" s="2" t="s">
        <v>1093</v>
      </c>
      <c r="B153" s="196" t="s">
        <v>1304</v>
      </c>
      <c r="C153" s="2" t="s">
        <v>1321</v>
      </c>
      <c r="D153" s="2" t="str">
        <f t="shared" si="20"/>
        <v>Christa GLEICHMANN </v>
      </c>
      <c r="E153" s="2" t="str">
        <f t="shared" si="21"/>
        <v>GLEICHMANN  Christa</v>
      </c>
      <c r="F153" s="9">
        <v>28.3</v>
      </c>
      <c r="G153" s="9" t="s">
        <v>83</v>
      </c>
      <c r="H153" s="214">
        <v>227195</v>
      </c>
      <c r="I153" s="4" t="s">
        <v>959</v>
      </c>
      <c r="J153" s="217" t="s">
        <v>1540</v>
      </c>
      <c r="K153" s="21">
        <v>12516</v>
      </c>
      <c r="L153" s="23">
        <f t="shared" si="22"/>
        <v>83</v>
      </c>
      <c r="M153" s="23">
        <f t="shared" si="27"/>
        <v>111.3</v>
      </c>
      <c r="N153" s="8" t="str">
        <f ca="1" t="shared" si="24"/>
        <v> </v>
      </c>
      <c r="O153" s="8" t="str">
        <f t="shared" si="18"/>
        <v> </v>
      </c>
      <c r="P153" s="8"/>
      <c r="Q153" s="2" t="s">
        <v>811</v>
      </c>
      <c r="R153" s="3">
        <v>3080</v>
      </c>
      <c r="S153" s="2" t="s">
        <v>540</v>
      </c>
      <c r="T153" s="2" t="s">
        <v>658</v>
      </c>
      <c r="U153" s="2"/>
      <c r="V153" s="9">
        <v>28.3</v>
      </c>
      <c r="W153" s="5">
        <f t="shared" si="25"/>
        <v>0</v>
      </c>
      <c r="X153" s="6">
        <f t="shared" si="26"/>
        <v>0</v>
      </c>
    </row>
    <row r="154" spans="1:24" ht="12">
      <c r="A154" s="2" t="s">
        <v>1093</v>
      </c>
      <c r="B154" s="196" t="s">
        <v>1230</v>
      </c>
      <c r="C154" s="2" t="s">
        <v>1322</v>
      </c>
      <c r="D154" s="2" t="str">
        <f t="shared" si="20"/>
        <v>Jacqueline GOETHALS</v>
      </c>
      <c r="E154" s="2" t="str">
        <f t="shared" si="21"/>
        <v>GOETHALS Jacqueline</v>
      </c>
      <c r="F154" s="9">
        <v>36</v>
      </c>
      <c r="G154" s="9" t="s">
        <v>84</v>
      </c>
      <c r="H154" s="214">
        <v>227199</v>
      </c>
      <c r="I154" s="4" t="s">
        <v>960</v>
      </c>
      <c r="J154" s="217" t="s">
        <v>1540</v>
      </c>
      <c r="K154" s="21">
        <v>9359</v>
      </c>
      <c r="L154" s="23">
        <f t="shared" si="22"/>
        <v>91</v>
      </c>
      <c r="M154" s="23">
        <f t="shared" si="27"/>
        <v>127</v>
      </c>
      <c r="N154" s="8" t="str">
        <f ca="1" t="shared" si="24"/>
        <v> </v>
      </c>
      <c r="O154" s="8" t="str">
        <f t="shared" si="18"/>
        <v> </v>
      </c>
      <c r="P154" s="8"/>
      <c r="Q154" s="2" t="s">
        <v>185</v>
      </c>
      <c r="R154" s="3">
        <v>1410</v>
      </c>
      <c r="S154" s="2" t="s">
        <v>534</v>
      </c>
      <c r="T154" s="2" t="s">
        <v>398</v>
      </c>
      <c r="U154" s="2"/>
      <c r="V154" s="9">
        <v>36</v>
      </c>
      <c r="W154" s="5">
        <f t="shared" si="25"/>
        <v>0</v>
      </c>
      <c r="X154" s="6">
        <f t="shared" si="26"/>
        <v>0</v>
      </c>
    </row>
    <row r="155" spans="1:24" ht="12">
      <c r="A155" s="2" t="s">
        <v>1093</v>
      </c>
      <c r="B155" s="196" t="s">
        <v>1187</v>
      </c>
      <c r="C155" s="2" t="s">
        <v>1322</v>
      </c>
      <c r="D155" s="2" t="str">
        <f t="shared" si="20"/>
        <v>Nadine GOETHALS</v>
      </c>
      <c r="E155" s="2" t="str">
        <f t="shared" si="21"/>
        <v>GOETHALS Nadine</v>
      </c>
      <c r="F155" s="9">
        <v>17.9</v>
      </c>
      <c r="G155" s="9" t="s">
        <v>83</v>
      </c>
      <c r="H155" s="214">
        <v>254683</v>
      </c>
      <c r="I155" s="4" t="s">
        <v>961</v>
      </c>
      <c r="J155" s="217" t="s">
        <v>1540</v>
      </c>
      <c r="K155" s="21">
        <v>17406</v>
      </c>
      <c r="L155" s="23">
        <f t="shared" si="22"/>
        <v>69</v>
      </c>
      <c r="M155" s="23">
        <f t="shared" si="27"/>
        <v>86.9</v>
      </c>
      <c r="N155" s="8" t="str">
        <f ca="1" t="shared" si="24"/>
        <v> </v>
      </c>
      <c r="O155" s="8" t="str">
        <f t="shared" si="18"/>
        <v> </v>
      </c>
      <c r="P155" s="8"/>
      <c r="Q155" s="2" t="s">
        <v>812</v>
      </c>
      <c r="R155" s="3">
        <v>1640</v>
      </c>
      <c r="S155" s="2" t="s">
        <v>345</v>
      </c>
      <c r="T155" s="2" t="s">
        <v>399</v>
      </c>
      <c r="U155" s="2" t="s">
        <v>415</v>
      </c>
      <c r="V155" s="9">
        <v>17.9</v>
      </c>
      <c r="W155" s="5">
        <f t="shared" si="25"/>
        <v>0</v>
      </c>
      <c r="X155" s="6">
        <f t="shared" si="26"/>
        <v>0</v>
      </c>
    </row>
    <row r="156" spans="1:24" ht="12">
      <c r="A156" s="2" t="s">
        <v>1092</v>
      </c>
      <c r="B156" s="196" t="s">
        <v>1221</v>
      </c>
      <c r="C156" s="2" t="s">
        <v>1322</v>
      </c>
      <c r="D156" s="2" t="str">
        <f t="shared" si="20"/>
        <v>Robert GOETHALS</v>
      </c>
      <c r="E156" s="2" t="str">
        <f t="shared" si="21"/>
        <v>GOETHALS Robert</v>
      </c>
      <c r="F156" s="9">
        <v>13.5</v>
      </c>
      <c r="G156" s="9" t="s">
        <v>83</v>
      </c>
      <c r="H156" s="214">
        <v>254682</v>
      </c>
      <c r="I156" s="4" t="s">
        <v>961</v>
      </c>
      <c r="J156" s="217" t="s">
        <v>1540</v>
      </c>
      <c r="K156" s="21">
        <v>15644</v>
      </c>
      <c r="L156" s="23">
        <f t="shared" si="22"/>
        <v>74</v>
      </c>
      <c r="M156" s="23">
        <f t="shared" si="27"/>
        <v>87.5</v>
      </c>
      <c r="N156" s="8" t="str">
        <f ca="1" t="shared" si="24"/>
        <v> </v>
      </c>
      <c r="O156" s="8" t="str">
        <f aca="true" t="shared" si="28" ref="O156:O219">IF((IF(DAY(K156)=DAY(dc),1,0)+IF(MONTH(K156)=MONTH(dc),1,0))=2,"y"," ")</f>
        <v> </v>
      </c>
      <c r="P156" s="8"/>
      <c r="Q156" s="2" t="s">
        <v>812</v>
      </c>
      <c r="R156" s="3">
        <v>1640</v>
      </c>
      <c r="S156" s="2" t="s">
        <v>345</v>
      </c>
      <c r="T156" s="2" t="s">
        <v>399</v>
      </c>
      <c r="U156" s="2" t="s">
        <v>416</v>
      </c>
      <c r="V156" s="9">
        <v>13.5</v>
      </c>
      <c r="W156" s="5">
        <f t="shared" si="25"/>
        <v>0</v>
      </c>
      <c r="X156" s="6">
        <f t="shared" si="26"/>
        <v>0</v>
      </c>
    </row>
    <row r="157" spans="1:24" ht="12">
      <c r="A157" s="2" t="s">
        <v>1092</v>
      </c>
      <c r="B157" s="196" t="s">
        <v>1228</v>
      </c>
      <c r="C157" s="2" t="s">
        <v>1950</v>
      </c>
      <c r="D157" s="2" t="str">
        <f t="shared" si="20"/>
        <v>François GOFFIN</v>
      </c>
      <c r="E157" s="2" t="str">
        <f t="shared" si="21"/>
        <v>GOFFIN François</v>
      </c>
      <c r="F157" s="9">
        <v>7.7</v>
      </c>
      <c r="G157" s="9" t="s">
        <v>84</v>
      </c>
      <c r="H157" s="214">
        <v>227203</v>
      </c>
      <c r="I157" s="4" t="s">
        <v>1982</v>
      </c>
      <c r="J157" s="217"/>
      <c r="K157" s="21">
        <v>22106</v>
      </c>
      <c r="L157" s="23">
        <f t="shared" si="22"/>
        <v>56</v>
      </c>
      <c r="M157" s="23">
        <f t="shared" si="27"/>
        <v>63.7</v>
      </c>
      <c r="N157" s="8" t="str">
        <f ca="1" t="shared" si="24"/>
        <v> </v>
      </c>
      <c r="O157" s="8" t="str">
        <f t="shared" si="28"/>
        <v> </v>
      </c>
      <c r="P157" s="8"/>
      <c r="Q157" s="2" t="s">
        <v>1951</v>
      </c>
      <c r="R157" s="3">
        <v>1050</v>
      </c>
      <c r="S157" s="2" t="s">
        <v>546</v>
      </c>
      <c r="T157" s="2"/>
      <c r="U157" s="2" t="s">
        <v>1993</v>
      </c>
      <c r="V157" s="9">
        <v>7.7</v>
      </c>
      <c r="W157" s="5">
        <f t="shared" si="25"/>
        <v>0</v>
      </c>
      <c r="X157" s="6">
        <f t="shared" si="26"/>
        <v>0</v>
      </c>
    </row>
    <row r="158" spans="1:24" ht="12">
      <c r="A158" s="2" t="s">
        <v>1093</v>
      </c>
      <c r="B158" s="196" t="s">
        <v>1305</v>
      </c>
      <c r="C158" s="2" t="s">
        <v>1323</v>
      </c>
      <c r="D158" s="2" t="str">
        <f t="shared" si="20"/>
        <v>Sylvie GONTARD </v>
      </c>
      <c r="E158" s="2" t="str">
        <f t="shared" si="21"/>
        <v>GONTARD  Sylvie</v>
      </c>
      <c r="F158" s="9">
        <v>15.3</v>
      </c>
      <c r="G158" s="9" t="s">
        <v>83</v>
      </c>
      <c r="H158" s="214">
        <v>704201</v>
      </c>
      <c r="I158" s="4" t="s">
        <v>962</v>
      </c>
      <c r="J158" s="217"/>
      <c r="K158" s="21">
        <v>17620</v>
      </c>
      <c r="L158" s="23">
        <f t="shared" si="22"/>
        <v>69</v>
      </c>
      <c r="M158" s="23">
        <f t="shared" si="27"/>
        <v>84.3</v>
      </c>
      <c r="N158" s="8" t="str">
        <f ca="1" t="shared" si="24"/>
        <v> </v>
      </c>
      <c r="O158" s="8" t="str">
        <f t="shared" si="28"/>
        <v> </v>
      </c>
      <c r="P158" s="8"/>
      <c r="Q158" s="2" t="s">
        <v>861</v>
      </c>
      <c r="R158" s="3">
        <v>1050</v>
      </c>
      <c r="S158" s="2" t="s">
        <v>546</v>
      </c>
      <c r="T158" s="2" t="s">
        <v>417</v>
      </c>
      <c r="U158" s="2" t="s">
        <v>537</v>
      </c>
      <c r="V158" s="9">
        <v>15.3</v>
      </c>
      <c r="W158" s="5">
        <f t="shared" si="25"/>
        <v>0</v>
      </c>
      <c r="X158" s="6">
        <f t="shared" si="26"/>
        <v>0</v>
      </c>
    </row>
    <row r="159" spans="1:24" ht="12">
      <c r="A159" s="2" t="s">
        <v>1093</v>
      </c>
      <c r="B159" s="196" t="s">
        <v>1152</v>
      </c>
      <c r="C159" s="2" t="s">
        <v>149</v>
      </c>
      <c r="D159" s="2" t="str">
        <f t="shared" si="20"/>
        <v>Michelle GORIS-RODESCH</v>
      </c>
      <c r="E159" s="2" t="str">
        <f t="shared" si="21"/>
        <v>GORIS-RODESCH Michelle</v>
      </c>
      <c r="F159" s="9">
        <v>30.5</v>
      </c>
      <c r="G159" s="9" t="s">
        <v>84</v>
      </c>
      <c r="H159" s="214">
        <v>227675</v>
      </c>
      <c r="I159" s="4" t="s">
        <v>1808</v>
      </c>
      <c r="J159" s="217" t="s">
        <v>1540</v>
      </c>
      <c r="K159" s="21">
        <v>15642</v>
      </c>
      <c r="L159" s="23">
        <f t="shared" si="22"/>
        <v>74</v>
      </c>
      <c r="M159" s="23">
        <f t="shared" si="27"/>
        <v>104.5</v>
      </c>
      <c r="N159" s="8" t="str">
        <f ca="1" t="shared" si="24"/>
        <v> </v>
      </c>
      <c r="O159" s="8" t="str">
        <f t="shared" si="28"/>
        <v> </v>
      </c>
      <c r="P159" s="8" t="s">
        <v>1540</v>
      </c>
      <c r="Q159" s="2" t="s">
        <v>1755</v>
      </c>
      <c r="R159" s="3">
        <v>1050</v>
      </c>
      <c r="S159" s="2" t="s">
        <v>546</v>
      </c>
      <c r="T159" s="2" t="s">
        <v>1876</v>
      </c>
      <c r="U159" s="2" t="s">
        <v>1875</v>
      </c>
      <c r="V159" s="9">
        <v>30.5</v>
      </c>
      <c r="W159" s="5">
        <f t="shared" si="25"/>
        <v>0</v>
      </c>
      <c r="X159" s="6">
        <f t="shared" si="26"/>
        <v>0</v>
      </c>
    </row>
    <row r="160" spans="1:24" ht="12">
      <c r="A160" s="2" t="s">
        <v>1093</v>
      </c>
      <c r="B160" s="196" t="s">
        <v>1306</v>
      </c>
      <c r="C160" s="2" t="s">
        <v>1324</v>
      </c>
      <c r="D160" s="2" t="str">
        <f t="shared" si="20"/>
        <v>Axelle GOUBAU </v>
      </c>
      <c r="E160" s="2" t="str">
        <f t="shared" si="21"/>
        <v>GOUBAU  Axelle</v>
      </c>
      <c r="F160" s="9">
        <v>6</v>
      </c>
      <c r="G160" s="9" t="s">
        <v>84</v>
      </c>
      <c r="H160" s="214">
        <v>179612</v>
      </c>
      <c r="I160" s="4" t="s">
        <v>1141</v>
      </c>
      <c r="J160" s="217"/>
      <c r="K160" s="21">
        <v>23099</v>
      </c>
      <c r="L160" s="23">
        <f t="shared" si="22"/>
        <v>54</v>
      </c>
      <c r="M160" s="23">
        <f t="shared" si="27"/>
        <v>60</v>
      </c>
      <c r="N160" s="8" t="str">
        <f ca="1" t="shared" si="24"/>
        <v> </v>
      </c>
      <c r="O160" s="8" t="str">
        <f t="shared" si="28"/>
        <v> </v>
      </c>
      <c r="P160" s="8"/>
      <c r="Q160" s="2" t="s">
        <v>18</v>
      </c>
      <c r="R160" s="3">
        <v>3078</v>
      </c>
      <c r="S160" s="2" t="s">
        <v>1094</v>
      </c>
      <c r="T160" s="2" t="s">
        <v>1095</v>
      </c>
      <c r="U160" s="2" t="s">
        <v>1096</v>
      </c>
      <c r="V160" s="9">
        <v>6</v>
      </c>
      <c r="W160" s="5">
        <f t="shared" si="25"/>
        <v>0</v>
      </c>
      <c r="X160" s="6">
        <f t="shared" si="26"/>
        <v>0</v>
      </c>
    </row>
    <row r="161" spans="1:24" ht="12">
      <c r="A161" s="2" t="s">
        <v>1092</v>
      </c>
      <c r="B161" s="196" t="s">
        <v>1264</v>
      </c>
      <c r="C161" s="2" t="s">
        <v>1325</v>
      </c>
      <c r="D161" s="2" t="str">
        <f t="shared" si="20"/>
        <v>Louis GRAUX </v>
      </c>
      <c r="E161" s="2" t="str">
        <f t="shared" si="21"/>
        <v>GRAUX  Louis</v>
      </c>
      <c r="F161" s="9">
        <v>25.3</v>
      </c>
      <c r="G161" s="9" t="s">
        <v>84</v>
      </c>
      <c r="H161" s="214">
        <v>227213</v>
      </c>
      <c r="I161" s="4" t="s">
        <v>963</v>
      </c>
      <c r="J161" s="217" t="s">
        <v>1540</v>
      </c>
      <c r="K161" s="21">
        <v>11148</v>
      </c>
      <c r="L161" s="23">
        <f t="shared" si="22"/>
        <v>86</v>
      </c>
      <c r="M161" s="23">
        <f t="shared" si="27"/>
        <v>111.3</v>
      </c>
      <c r="N161" s="8" t="str">
        <f ca="1" t="shared" si="24"/>
        <v> </v>
      </c>
      <c r="O161" s="8" t="str">
        <f t="shared" si="28"/>
        <v> </v>
      </c>
      <c r="P161" s="8"/>
      <c r="Q161" s="2" t="s">
        <v>813</v>
      </c>
      <c r="R161" s="3">
        <v>1410</v>
      </c>
      <c r="S161" s="2" t="s">
        <v>534</v>
      </c>
      <c r="T161" s="2" t="s">
        <v>400</v>
      </c>
      <c r="U161" s="2" t="s">
        <v>455</v>
      </c>
      <c r="V161" s="9">
        <v>25.3</v>
      </c>
      <c r="W161" s="5">
        <f t="shared" si="25"/>
        <v>0</v>
      </c>
      <c r="X161" s="6">
        <f t="shared" si="26"/>
        <v>0</v>
      </c>
    </row>
    <row r="162" spans="1:24" ht="12">
      <c r="A162" s="2" t="s">
        <v>1092</v>
      </c>
      <c r="B162" s="196" t="s">
        <v>1307</v>
      </c>
      <c r="C162" s="2" t="s">
        <v>1326</v>
      </c>
      <c r="D162" s="2" t="str">
        <f t="shared" si="20"/>
        <v>Norbert GRESCH </v>
      </c>
      <c r="E162" s="2" t="str">
        <f t="shared" si="21"/>
        <v>GRESCH  Norbert</v>
      </c>
      <c r="F162" s="9">
        <v>22.8</v>
      </c>
      <c r="G162" s="9" t="s">
        <v>84</v>
      </c>
      <c r="H162" s="214">
        <v>706462</v>
      </c>
      <c r="I162" s="4" t="s">
        <v>964</v>
      </c>
      <c r="J162" s="217" t="s">
        <v>1540</v>
      </c>
      <c r="K162" s="21">
        <v>16754</v>
      </c>
      <c r="L162" s="23">
        <f t="shared" si="22"/>
        <v>71</v>
      </c>
      <c r="M162" s="23">
        <f t="shared" si="27"/>
        <v>93.8</v>
      </c>
      <c r="N162" s="8" t="str">
        <f ca="1" t="shared" si="24"/>
        <v> </v>
      </c>
      <c r="O162" s="8" t="str">
        <f t="shared" si="28"/>
        <v> </v>
      </c>
      <c r="P162" s="8" t="s">
        <v>1540</v>
      </c>
      <c r="Q162" s="2" t="s">
        <v>762</v>
      </c>
      <c r="R162" s="3">
        <v>1640</v>
      </c>
      <c r="S162" s="2" t="s">
        <v>345</v>
      </c>
      <c r="T162" s="2" t="s">
        <v>763</v>
      </c>
      <c r="U162" s="2" t="s">
        <v>764</v>
      </c>
      <c r="V162" s="9">
        <v>22.8</v>
      </c>
      <c r="W162" s="5">
        <f t="shared" si="25"/>
        <v>0</v>
      </c>
      <c r="X162" s="6">
        <f t="shared" si="26"/>
        <v>0</v>
      </c>
    </row>
    <row r="163" spans="1:24" ht="12">
      <c r="A163" s="2" t="s">
        <v>1092</v>
      </c>
      <c r="B163" s="196" t="s">
        <v>1308</v>
      </c>
      <c r="C163" s="2" t="s">
        <v>1327</v>
      </c>
      <c r="D163" s="2" t="str">
        <f t="shared" si="20"/>
        <v>Daniel GUIBERT </v>
      </c>
      <c r="E163" s="2" t="str">
        <f t="shared" si="21"/>
        <v>GUIBERT  Daniel</v>
      </c>
      <c r="F163" s="9">
        <v>20</v>
      </c>
      <c r="G163" s="9" t="s">
        <v>84</v>
      </c>
      <c r="H163" s="214">
        <v>227223</v>
      </c>
      <c r="I163" s="4" t="s">
        <v>965</v>
      </c>
      <c r="J163" s="217" t="s">
        <v>1540</v>
      </c>
      <c r="K163" s="21">
        <v>15072</v>
      </c>
      <c r="L163" s="23">
        <f t="shared" si="22"/>
        <v>76</v>
      </c>
      <c r="M163" s="23">
        <f t="shared" si="27"/>
        <v>96</v>
      </c>
      <c r="N163" s="8" t="str">
        <f ca="1" t="shared" si="24"/>
        <v> </v>
      </c>
      <c r="O163" s="8" t="str">
        <f t="shared" si="28"/>
        <v> </v>
      </c>
      <c r="P163" s="8" t="s">
        <v>1540</v>
      </c>
      <c r="Q163" s="2" t="s">
        <v>814</v>
      </c>
      <c r="R163" s="3">
        <v>1640</v>
      </c>
      <c r="S163" s="2" t="s">
        <v>345</v>
      </c>
      <c r="T163" s="2" t="s">
        <v>401</v>
      </c>
      <c r="U163" s="2"/>
      <c r="V163" s="9">
        <v>20</v>
      </c>
      <c r="W163" s="5">
        <f t="shared" si="25"/>
        <v>0</v>
      </c>
      <c r="X163" s="6">
        <f t="shared" si="26"/>
        <v>0</v>
      </c>
    </row>
    <row r="164" spans="1:24" ht="12">
      <c r="A164" s="2" t="s">
        <v>1092</v>
      </c>
      <c r="B164" s="196" t="s">
        <v>1166</v>
      </c>
      <c r="C164" s="2" t="s">
        <v>1943</v>
      </c>
      <c r="D164" s="2" t="str">
        <f t="shared" si="20"/>
        <v>Francis GUSTOT</v>
      </c>
      <c r="E164" s="2" t="str">
        <f t="shared" si="21"/>
        <v>GUSTOT Francis</v>
      </c>
      <c r="F164" s="9">
        <v>19.5</v>
      </c>
      <c r="G164" s="9" t="s">
        <v>84</v>
      </c>
      <c r="H164" s="214">
        <v>227229</v>
      </c>
      <c r="I164" s="4" t="s">
        <v>1983</v>
      </c>
      <c r="J164" s="217" t="s">
        <v>1540</v>
      </c>
      <c r="K164" s="21">
        <v>20503</v>
      </c>
      <c r="L164" s="23">
        <f t="shared" si="22"/>
        <v>61</v>
      </c>
      <c r="M164" s="23">
        <f t="shared" si="27"/>
        <v>80.5</v>
      </c>
      <c r="N164" s="8" t="str">
        <f ca="1" t="shared" si="24"/>
        <v> </v>
      </c>
      <c r="O164" s="8" t="str">
        <f t="shared" si="28"/>
        <v> </v>
      </c>
      <c r="P164" s="8"/>
      <c r="Q164" s="2" t="s">
        <v>1956</v>
      </c>
      <c r="R164" s="3">
        <v>1640</v>
      </c>
      <c r="S164" s="2" t="s">
        <v>345</v>
      </c>
      <c r="T164" s="2"/>
      <c r="U164" s="2" t="s">
        <v>1957</v>
      </c>
      <c r="V164" s="9">
        <v>19.5</v>
      </c>
      <c r="W164" s="5">
        <f t="shared" si="25"/>
        <v>0</v>
      </c>
      <c r="X164" s="6">
        <f t="shared" si="26"/>
        <v>0</v>
      </c>
    </row>
    <row r="165" spans="1:24" ht="12">
      <c r="A165" s="2" t="s">
        <v>1092</v>
      </c>
      <c r="B165" s="196" t="s">
        <v>1309</v>
      </c>
      <c r="C165" s="2" t="s">
        <v>1328</v>
      </c>
      <c r="D165" s="2" t="str">
        <f t="shared" si="20"/>
        <v>Fernand HALBART </v>
      </c>
      <c r="E165" s="2" t="str">
        <f t="shared" si="21"/>
        <v>HALBART  Fernand</v>
      </c>
      <c r="F165" s="9">
        <v>19.4</v>
      </c>
      <c r="G165" s="9" t="s">
        <v>84</v>
      </c>
      <c r="H165" s="214">
        <v>227233</v>
      </c>
      <c r="I165" s="4" t="s">
        <v>966</v>
      </c>
      <c r="J165" s="217" t="s">
        <v>1540</v>
      </c>
      <c r="K165" s="21">
        <v>14087</v>
      </c>
      <c r="L165" s="23">
        <f t="shared" si="22"/>
        <v>78</v>
      </c>
      <c r="M165" s="23">
        <f t="shared" si="27"/>
        <v>97.4</v>
      </c>
      <c r="N165" s="8" t="str">
        <f ca="1" t="shared" si="24"/>
        <v> </v>
      </c>
      <c r="O165" s="8" t="str">
        <f t="shared" si="28"/>
        <v> </v>
      </c>
      <c r="P165" s="8" t="s">
        <v>1540</v>
      </c>
      <c r="Q165" s="2" t="s">
        <v>815</v>
      </c>
      <c r="R165" s="3">
        <v>1420</v>
      </c>
      <c r="S165" s="2" t="s">
        <v>535</v>
      </c>
      <c r="T165" s="2" t="s">
        <v>670</v>
      </c>
      <c r="U165" s="2" t="s">
        <v>671</v>
      </c>
      <c r="V165" s="9">
        <v>19.4</v>
      </c>
      <c r="W165" s="5">
        <f t="shared" si="25"/>
        <v>0</v>
      </c>
      <c r="X165" s="6">
        <f t="shared" si="26"/>
        <v>0</v>
      </c>
    </row>
    <row r="166" spans="1:24" ht="12">
      <c r="A166" s="2" t="s">
        <v>1093</v>
      </c>
      <c r="B166" s="196" t="s">
        <v>1310</v>
      </c>
      <c r="C166" s="2" t="s">
        <v>1328</v>
      </c>
      <c r="D166" s="2" t="str">
        <f t="shared" si="20"/>
        <v>Gerda HALBART </v>
      </c>
      <c r="E166" s="2" t="str">
        <f t="shared" si="21"/>
        <v>HALBART  Gerda</v>
      </c>
      <c r="F166" s="9">
        <v>21.5</v>
      </c>
      <c r="G166" s="9" t="s">
        <v>84</v>
      </c>
      <c r="H166" s="214">
        <v>227234</v>
      </c>
      <c r="I166" s="4" t="s">
        <v>966</v>
      </c>
      <c r="J166" s="217" t="s">
        <v>1540</v>
      </c>
      <c r="K166" s="21">
        <v>15520</v>
      </c>
      <c r="L166" s="23">
        <f t="shared" si="22"/>
        <v>74</v>
      </c>
      <c r="M166" s="23">
        <f t="shared" si="27"/>
        <v>95.5</v>
      </c>
      <c r="N166" s="8" t="str">
        <f ca="1" t="shared" si="24"/>
        <v> </v>
      </c>
      <c r="O166" s="8" t="str">
        <f t="shared" si="28"/>
        <v> </v>
      </c>
      <c r="P166" s="8" t="s">
        <v>1540</v>
      </c>
      <c r="Q166" s="2" t="s">
        <v>815</v>
      </c>
      <c r="R166" s="3">
        <v>1420</v>
      </c>
      <c r="S166" s="2" t="s">
        <v>535</v>
      </c>
      <c r="T166" s="2" t="s">
        <v>670</v>
      </c>
      <c r="U166" s="2" t="s">
        <v>411</v>
      </c>
      <c r="V166" s="9">
        <v>21.5</v>
      </c>
      <c r="W166" s="5">
        <f t="shared" si="25"/>
        <v>0</v>
      </c>
      <c r="X166" s="6">
        <f t="shared" si="26"/>
        <v>0</v>
      </c>
    </row>
    <row r="167" spans="1:24" ht="12">
      <c r="A167" s="2" t="s">
        <v>1092</v>
      </c>
      <c r="B167" s="196" t="s">
        <v>1312</v>
      </c>
      <c r="C167" s="2" t="s">
        <v>1329</v>
      </c>
      <c r="D167" s="2" t="str">
        <f t="shared" si="20"/>
        <v>Henry HEINEMANN </v>
      </c>
      <c r="E167" s="2" t="str">
        <f t="shared" si="21"/>
        <v>HEINEMANN  Henry</v>
      </c>
      <c r="F167" s="9">
        <v>23.6</v>
      </c>
      <c r="G167" s="9" t="s">
        <v>84</v>
      </c>
      <c r="H167" s="214">
        <v>703750</v>
      </c>
      <c r="I167" s="4" t="s">
        <v>967</v>
      </c>
      <c r="J167" s="217"/>
      <c r="K167" s="21">
        <v>13759</v>
      </c>
      <c r="L167" s="23">
        <f t="shared" si="22"/>
        <v>79</v>
      </c>
      <c r="M167" s="23">
        <f t="shared" si="27"/>
        <v>102.6</v>
      </c>
      <c r="N167" s="8" t="str">
        <f ca="1" t="shared" si="24"/>
        <v> </v>
      </c>
      <c r="O167" s="8" t="str">
        <f t="shared" si="28"/>
        <v> </v>
      </c>
      <c r="P167" s="8" t="s">
        <v>1540</v>
      </c>
      <c r="Q167" s="2" t="s">
        <v>816</v>
      </c>
      <c r="R167" s="3">
        <v>1750</v>
      </c>
      <c r="S167" s="2" t="s">
        <v>748</v>
      </c>
      <c r="T167" s="2"/>
      <c r="U167" s="2" t="s">
        <v>749</v>
      </c>
      <c r="V167" s="9">
        <v>23.6</v>
      </c>
      <c r="W167" s="5">
        <f t="shared" si="25"/>
        <v>0</v>
      </c>
      <c r="X167" s="6">
        <f t="shared" si="26"/>
        <v>0</v>
      </c>
    </row>
    <row r="168" spans="1:24" ht="12">
      <c r="A168" s="2" t="s">
        <v>1093</v>
      </c>
      <c r="B168" s="196" t="s">
        <v>1313</v>
      </c>
      <c r="C168" s="2" t="s">
        <v>1331</v>
      </c>
      <c r="D168" s="2" t="str">
        <f t="shared" si="20"/>
        <v>Geneviève HENRY </v>
      </c>
      <c r="E168" s="2" t="str">
        <f t="shared" si="21"/>
        <v>HENRY  Geneviève</v>
      </c>
      <c r="F168" s="9">
        <v>8.5</v>
      </c>
      <c r="G168" s="9" t="s">
        <v>84</v>
      </c>
      <c r="H168" s="214">
        <v>227253</v>
      </c>
      <c r="I168" s="4" t="s">
        <v>969</v>
      </c>
      <c r="J168" s="217" t="s">
        <v>1540</v>
      </c>
      <c r="K168" s="21">
        <v>18367</v>
      </c>
      <c r="L168" s="23">
        <f t="shared" si="22"/>
        <v>67</v>
      </c>
      <c r="M168" s="23">
        <f t="shared" si="27"/>
        <v>75.5</v>
      </c>
      <c r="N168" s="8" t="str">
        <f ca="1" t="shared" si="24"/>
        <v> </v>
      </c>
      <c r="O168" s="8" t="str">
        <f t="shared" si="28"/>
        <v> </v>
      </c>
      <c r="P168" s="8" t="s">
        <v>1540</v>
      </c>
      <c r="Q168" s="2" t="s">
        <v>817</v>
      </c>
      <c r="R168" s="3">
        <v>1180</v>
      </c>
      <c r="S168" s="2" t="s">
        <v>546</v>
      </c>
      <c r="T168" s="2" t="s">
        <v>672</v>
      </c>
      <c r="U168" s="2" t="s">
        <v>673</v>
      </c>
      <c r="V168" s="9">
        <v>8.5</v>
      </c>
      <c r="W168" s="5">
        <f t="shared" si="25"/>
        <v>0</v>
      </c>
      <c r="X168" s="6">
        <f t="shared" si="26"/>
        <v>0</v>
      </c>
    </row>
    <row r="169" spans="1:24" ht="12">
      <c r="A169" s="2" t="s">
        <v>1092</v>
      </c>
      <c r="B169" s="196" t="s">
        <v>1193</v>
      </c>
      <c r="C169" s="2" t="s">
        <v>1330</v>
      </c>
      <c r="D169" s="2" t="str">
        <f t="shared" si="20"/>
        <v>Marc HENRY de FRAHAN </v>
      </c>
      <c r="E169" s="2" t="str">
        <f t="shared" si="21"/>
        <v>HENRY de FRAHAN  Marc</v>
      </c>
      <c r="F169" s="9">
        <v>24.3</v>
      </c>
      <c r="G169" s="9" t="s">
        <v>83</v>
      </c>
      <c r="H169" s="214">
        <v>703129</v>
      </c>
      <c r="I169" s="4" t="s">
        <v>968</v>
      </c>
      <c r="J169" s="217" t="s">
        <v>1540</v>
      </c>
      <c r="K169" s="21">
        <v>13076</v>
      </c>
      <c r="L169" s="23">
        <f t="shared" si="22"/>
        <v>81</v>
      </c>
      <c r="M169" s="23">
        <f t="shared" si="27"/>
        <v>105.3</v>
      </c>
      <c r="N169" s="8" t="str">
        <f ca="1" t="shared" si="24"/>
        <v> </v>
      </c>
      <c r="O169" s="8" t="str">
        <f t="shared" si="28"/>
        <v> </v>
      </c>
      <c r="P169" s="8"/>
      <c r="Q169" s="2" t="s">
        <v>818</v>
      </c>
      <c r="R169" s="3">
        <v>1180</v>
      </c>
      <c r="S169" s="2" t="s">
        <v>546</v>
      </c>
      <c r="T169" s="2" t="s">
        <v>322</v>
      </c>
      <c r="U169" s="2" t="s">
        <v>323</v>
      </c>
      <c r="V169" s="9">
        <v>24.3</v>
      </c>
      <c r="W169" s="5">
        <f t="shared" si="25"/>
        <v>0</v>
      </c>
      <c r="X169" s="6">
        <f t="shared" si="26"/>
        <v>0</v>
      </c>
    </row>
    <row r="170" spans="1:24" ht="12">
      <c r="A170" s="2" t="s">
        <v>1092</v>
      </c>
      <c r="B170" s="196" t="s">
        <v>1299</v>
      </c>
      <c r="C170" s="2" t="s">
        <v>1332</v>
      </c>
      <c r="D170" s="2" t="str">
        <f t="shared" si="20"/>
        <v>Herman HENSEN </v>
      </c>
      <c r="E170" s="2" t="str">
        <f t="shared" si="21"/>
        <v>HENSEN  Herman</v>
      </c>
      <c r="F170" s="9">
        <v>27.4</v>
      </c>
      <c r="G170" s="9" t="s">
        <v>84</v>
      </c>
      <c r="H170" s="214">
        <v>258738</v>
      </c>
      <c r="I170" s="4" t="s">
        <v>970</v>
      </c>
      <c r="J170" s="217" t="s">
        <v>1540</v>
      </c>
      <c r="K170" s="21">
        <v>17530</v>
      </c>
      <c r="L170" s="23">
        <f t="shared" si="22"/>
        <v>69</v>
      </c>
      <c r="M170" s="23">
        <f t="shared" si="27"/>
        <v>96.4</v>
      </c>
      <c r="N170" s="8" t="str">
        <f ca="1" t="shared" si="24"/>
        <v> </v>
      </c>
      <c r="O170" s="8" t="str">
        <f t="shared" si="28"/>
        <v> </v>
      </c>
      <c r="P170" s="8" t="s">
        <v>1540</v>
      </c>
      <c r="Q170" s="2" t="s">
        <v>819</v>
      </c>
      <c r="R170" s="3">
        <v>1050</v>
      </c>
      <c r="S170" s="2" t="s">
        <v>546</v>
      </c>
      <c r="T170" s="2" t="s">
        <v>674</v>
      </c>
      <c r="U170" s="2"/>
      <c r="V170" s="9">
        <v>27.4</v>
      </c>
      <c r="W170" s="5">
        <f t="shared" si="25"/>
        <v>0</v>
      </c>
      <c r="X170" s="6">
        <f t="shared" si="26"/>
        <v>0</v>
      </c>
    </row>
    <row r="171" spans="1:24" ht="12">
      <c r="A171" s="2" t="s">
        <v>1093</v>
      </c>
      <c r="B171" s="196" t="s">
        <v>1314</v>
      </c>
      <c r="C171" s="2" t="s">
        <v>1332</v>
      </c>
      <c r="D171" s="2" t="str">
        <f t="shared" si="20"/>
        <v>Itta HENSEN </v>
      </c>
      <c r="E171" s="2" t="str">
        <f t="shared" si="21"/>
        <v>HENSEN  Itta</v>
      </c>
      <c r="F171" s="9">
        <v>17.6</v>
      </c>
      <c r="G171" s="9" t="s">
        <v>84</v>
      </c>
      <c r="H171" s="214">
        <v>227255</v>
      </c>
      <c r="I171" s="4" t="s">
        <v>970</v>
      </c>
      <c r="J171" s="217" t="s">
        <v>1540</v>
      </c>
      <c r="K171" s="21">
        <v>16888</v>
      </c>
      <c r="L171" s="23">
        <f t="shared" si="22"/>
        <v>71</v>
      </c>
      <c r="M171" s="23">
        <f t="shared" si="27"/>
        <v>88.6</v>
      </c>
      <c r="N171" s="8" t="str">
        <f ca="1" t="shared" si="24"/>
        <v> </v>
      </c>
      <c r="O171" s="8" t="str">
        <f t="shared" si="28"/>
        <v> </v>
      </c>
      <c r="P171" s="8" t="s">
        <v>1540</v>
      </c>
      <c r="Q171" s="2" t="s">
        <v>819</v>
      </c>
      <c r="R171" s="3">
        <v>1050</v>
      </c>
      <c r="S171" s="2" t="s">
        <v>546</v>
      </c>
      <c r="T171" s="2" t="s">
        <v>674</v>
      </c>
      <c r="U171" s="2" t="s">
        <v>714</v>
      </c>
      <c r="V171" s="9">
        <v>17.6</v>
      </c>
      <c r="W171" s="5">
        <f t="shared" si="25"/>
        <v>0</v>
      </c>
      <c r="X171" s="6">
        <f t="shared" si="26"/>
        <v>0</v>
      </c>
    </row>
    <row r="172" spans="1:24" ht="12">
      <c r="A172" s="2" t="s">
        <v>1093</v>
      </c>
      <c r="B172" s="196" t="s">
        <v>1349</v>
      </c>
      <c r="C172" s="2" t="s">
        <v>1843</v>
      </c>
      <c r="D172" s="2" t="str">
        <f t="shared" si="20"/>
        <v>Christine HERINCKX</v>
      </c>
      <c r="E172" s="2" t="str">
        <f t="shared" si="21"/>
        <v>HERINCKX Christine</v>
      </c>
      <c r="F172" s="9">
        <v>8.2</v>
      </c>
      <c r="G172" s="9" t="s">
        <v>84</v>
      </c>
      <c r="H172" s="214">
        <v>706469</v>
      </c>
      <c r="I172" s="4" t="s">
        <v>1842</v>
      </c>
      <c r="J172" s="217"/>
      <c r="K172" s="21">
        <v>23947</v>
      </c>
      <c r="L172" s="23">
        <f t="shared" si="22"/>
        <v>51</v>
      </c>
      <c r="M172" s="23">
        <f aca="true" t="shared" si="29" ref="M172:M203">L172+F172</f>
        <v>59.2</v>
      </c>
      <c r="N172" s="8" t="str">
        <f ca="1" t="shared" si="24"/>
        <v> </v>
      </c>
      <c r="O172" s="8" t="str">
        <f t="shared" si="28"/>
        <v> </v>
      </c>
      <c r="P172" s="8"/>
      <c r="Q172" s="2" t="s">
        <v>1958</v>
      </c>
      <c r="R172" s="3">
        <v>1640</v>
      </c>
      <c r="S172" s="2" t="s">
        <v>345</v>
      </c>
      <c r="T172" s="2"/>
      <c r="U172" s="2" t="s">
        <v>1959</v>
      </c>
      <c r="V172" s="9">
        <v>8.2</v>
      </c>
      <c r="W172" s="5">
        <f t="shared" si="25"/>
        <v>0</v>
      </c>
      <c r="X172" s="6">
        <f t="shared" si="26"/>
        <v>0</v>
      </c>
    </row>
    <row r="173" spans="1:24" ht="12">
      <c r="A173" s="2" t="s">
        <v>1093</v>
      </c>
      <c r="B173" s="196" t="s">
        <v>1197</v>
      </c>
      <c r="C173" s="2" t="s">
        <v>1333</v>
      </c>
      <c r="D173" s="2" t="str">
        <f t="shared" si="20"/>
        <v>Louise HERMAN</v>
      </c>
      <c r="E173" s="2" t="str">
        <f t="shared" si="21"/>
        <v>HERMAN Louise</v>
      </c>
      <c r="F173" s="9">
        <v>20.2</v>
      </c>
      <c r="G173" s="9" t="s">
        <v>84</v>
      </c>
      <c r="H173" s="214">
        <v>101863</v>
      </c>
      <c r="I173" s="4" t="s">
        <v>1142</v>
      </c>
      <c r="J173" s="217" t="s">
        <v>1540</v>
      </c>
      <c r="K173" s="21">
        <v>17142</v>
      </c>
      <c r="L173" s="23">
        <f t="shared" si="22"/>
        <v>70</v>
      </c>
      <c r="M173" s="23">
        <f t="shared" si="29"/>
        <v>90.2</v>
      </c>
      <c r="N173" s="8" t="str">
        <f ca="1" t="shared" si="24"/>
        <v> </v>
      </c>
      <c r="O173" s="8" t="str">
        <f t="shared" si="28"/>
        <v> </v>
      </c>
      <c r="P173" s="8" t="s">
        <v>1540</v>
      </c>
      <c r="Q173" s="2" t="s">
        <v>820</v>
      </c>
      <c r="R173" s="3">
        <v>1170</v>
      </c>
      <c r="S173" s="2" t="s">
        <v>543</v>
      </c>
      <c r="T173" s="2" t="s">
        <v>675</v>
      </c>
      <c r="U173" s="2" t="s">
        <v>408</v>
      </c>
      <c r="V173" s="9">
        <v>20.2</v>
      </c>
      <c r="W173" s="5">
        <f t="shared" si="25"/>
        <v>0</v>
      </c>
      <c r="X173" s="6">
        <f t="shared" si="26"/>
        <v>0</v>
      </c>
    </row>
    <row r="174" spans="1:24" ht="12">
      <c r="A174" s="2" t="s">
        <v>1093</v>
      </c>
      <c r="B174" s="196" t="s">
        <v>1315</v>
      </c>
      <c r="C174" s="2" t="s">
        <v>1334</v>
      </c>
      <c r="D174" s="2" t="str">
        <f t="shared" si="20"/>
        <v>Michèle HERPAIN</v>
      </c>
      <c r="E174" s="2" t="str">
        <f t="shared" si="21"/>
        <v>HERPAIN Michèle</v>
      </c>
      <c r="F174" s="9">
        <v>15</v>
      </c>
      <c r="G174" s="9" t="s">
        <v>84</v>
      </c>
      <c r="H174" s="214">
        <v>101864</v>
      </c>
      <c r="I174" s="4" t="s">
        <v>971</v>
      </c>
      <c r="J174" s="217" t="s">
        <v>1540</v>
      </c>
      <c r="K174" s="21">
        <v>17756</v>
      </c>
      <c r="L174" s="23">
        <f t="shared" si="22"/>
        <v>68</v>
      </c>
      <c r="M174" s="23">
        <f t="shared" si="29"/>
        <v>83</v>
      </c>
      <c r="N174" s="8" t="str">
        <f ca="1" t="shared" si="24"/>
        <v> </v>
      </c>
      <c r="O174" s="8" t="str">
        <f t="shared" si="28"/>
        <v> </v>
      </c>
      <c r="P174" s="8"/>
      <c r="Q174" s="2" t="s">
        <v>821</v>
      </c>
      <c r="R174" s="3">
        <v>1180</v>
      </c>
      <c r="S174" s="2" t="s">
        <v>546</v>
      </c>
      <c r="T174" s="2"/>
      <c r="U174" s="2" t="s">
        <v>391</v>
      </c>
      <c r="V174" s="9">
        <v>15</v>
      </c>
      <c r="W174" s="5">
        <f t="shared" si="25"/>
        <v>0</v>
      </c>
      <c r="X174" s="6">
        <f t="shared" si="26"/>
        <v>0</v>
      </c>
    </row>
    <row r="175" spans="1:24" ht="12">
      <c r="A175" s="2" t="s">
        <v>1092</v>
      </c>
      <c r="B175" s="196" t="s">
        <v>1336</v>
      </c>
      <c r="C175" s="2" t="s">
        <v>1335</v>
      </c>
      <c r="D175" s="2" t="str">
        <f t="shared" si="20"/>
        <v>Stéphane HERPAIN </v>
      </c>
      <c r="E175" s="2" t="str">
        <f t="shared" si="21"/>
        <v>HERPAIN  Stéphane</v>
      </c>
      <c r="F175" s="9">
        <v>16.3</v>
      </c>
      <c r="G175" s="9" t="s">
        <v>84</v>
      </c>
      <c r="H175" s="214">
        <v>101863</v>
      </c>
      <c r="I175" s="4" t="s">
        <v>972</v>
      </c>
      <c r="J175" s="217" t="s">
        <v>1540</v>
      </c>
      <c r="K175" s="21">
        <v>16602</v>
      </c>
      <c r="L175" s="23">
        <f t="shared" si="22"/>
        <v>72</v>
      </c>
      <c r="M175" s="23">
        <f t="shared" si="29"/>
        <v>88.3</v>
      </c>
      <c r="N175" s="8" t="str">
        <f ca="1" t="shared" si="24"/>
        <v> </v>
      </c>
      <c r="O175" s="8" t="str">
        <f t="shared" si="28"/>
        <v> </v>
      </c>
      <c r="P175" s="8"/>
      <c r="Q175" s="2" t="s">
        <v>821</v>
      </c>
      <c r="R175" s="3">
        <v>1180</v>
      </c>
      <c r="S175" s="2" t="s">
        <v>546</v>
      </c>
      <c r="T175" s="2"/>
      <c r="U175" s="2" t="s">
        <v>392</v>
      </c>
      <c r="V175" s="9">
        <v>16.3</v>
      </c>
      <c r="W175" s="5">
        <f t="shared" si="25"/>
        <v>0</v>
      </c>
      <c r="X175" s="6">
        <f t="shared" si="26"/>
        <v>0</v>
      </c>
    </row>
    <row r="176" spans="1:24" ht="12">
      <c r="A176" s="2" t="s">
        <v>1092</v>
      </c>
      <c r="B176" s="196" t="s">
        <v>1338</v>
      </c>
      <c r="C176" s="2" t="s">
        <v>1351</v>
      </c>
      <c r="D176" s="2" t="str">
        <f t="shared" si="20"/>
        <v>Tom HIRSHLAND </v>
      </c>
      <c r="E176" s="2" t="str">
        <f t="shared" si="21"/>
        <v>HIRSHLAND  Tom</v>
      </c>
      <c r="F176" s="9">
        <v>13</v>
      </c>
      <c r="G176" s="9" t="s">
        <v>84</v>
      </c>
      <c r="H176" s="214">
        <v>1011165</v>
      </c>
      <c r="I176" s="4" t="s">
        <v>160</v>
      </c>
      <c r="J176" s="217"/>
      <c r="K176" s="21">
        <v>21035</v>
      </c>
      <c r="L176" s="23">
        <f t="shared" si="22"/>
        <v>59</v>
      </c>
      <c r="M176" s="23">
        <f t="shared" si="29"/>
        <v>72</v>
      </c>
      <c r="N176" s="8" t="str">
        <f ca="1" t="shared" si="24"/>
        <v> </v>
      </c>
      <c r="O176" s="8" t="str">
        <f t="shared" si="28"/>
        <v> </v>
      </c>
      <c r="P176" s="8"/>
      <c r="Q176" s="2" t="s">
        <v>1125</v>
      </c>
      <c r="R176" s="3">
        <v>1180</v>
      </c>
      <c r="S176" s="2" t="s">
        <v>546</v>
      </c>
      <c r="T176" s="2"/>
      <c r="U176" s="2" t="s">
        <v>1126</v>
      </c>
      <c r="V176" s="9">
        <v>13</v>
      </c>
      <c r="W176" s="5">
        <f t="shared" si="25"/>
        <v>0</v>
      </c>
      <c r="X176" s="6">
        <f t="shared" si="26"/>
        <v>0</v>
      </c>
    </row>
    <row r="177" spans="1:24" ht="12">
      <c r="A177" s="2" t="s">
        <v>1093</v>
      </c>
      <c r="B177" s="196" t="s">
        <v>1337</v>
      </c>
      <c r="C177" s="2" t="s">
        <v>1352</v>
      </c>
      <c r="D177" s="2" t="str">
        <f t="shared" si="20"/>
        <v>Sylviane HOREKENS </v>
      </c>
      <c r="E177" s="2" t="str">
        <f t="shared" si="21"/>
        <v>HOREKENS  Sylviane</v>
      </c>
      <c r="F177" s="9">
        <v>24.1</v>
      </c>
      <c r="G177" s="9" t="s">
        <v>84</v>
      </c>
      <c r="H177" s="214">
        <v>243153</v>
      </c>
      <c r="I177" s="4" t="s">
        <v>973</v>
      </c>
      <c r="J177" s="217" t="s">
        <v>1540</v>
      </c>
      <c r="K177" s="21">
        <v>18726</v>
      </c>
      <c r="L177" s="23">
        <f t="shared" si="22"/>
        <v>66</v>
      </c>
      <c r="M177" s="23">
        <f t="shared" si="29"/>
        <v>90.1</v>
      </c>
      <c r="N177" s="8" t="str">
        <f ca="1" t="shared" si="24"/>
        <v> </v>
      </c>
      <c r="O177" s="8" t="str">
        <f t="shared" si="28"/>
        <v> </v>
      </c>
      <c r="P177" s="8" t="s">
        <v>1540</v>
      </c>
      <c r="Q177" s="2" t="s">
        <v>822</v>
      </c>
      <c r="R177" s="3">
        <v>1000</v>
      </c>
      <c r="S177" s="2" t="s">
        <v>546</v>
      </c>
      <c r="T177" s="2" t="s">
        <v>407</v>
      </c>
      <c r="U177" s="2" t="s">
        <v>767</v>
      </c>
      <c r="V177" s="9">
        <v>24.1</v>
      </c>
      <c r="W177" s="5">
        <f t="shared" si="25"/>
        <v>0</v>
      </c>
      <c r="X177" s="6">
        <f t="shared" si="26"/>
        <v>0</v>
      </c>
    </row>
    <row r="178" spans="1:24" ht="12">
      <c r="A178" s="2" t="s">
        <v>1093</v>
      </c>
      <c r="B178" s="196" t="s">
        <v>1303</v>
      </c>
      <c r="C178" s="2" t="s">
        <v>1353</v>
      </c>
      <c r="D178" s="2" t="str">
        <f t="shared" si="20"/>
        <v>Nicole HORLAIT</v>
      </c>
      <c r="E178" s="2" t="str">
        <f t="shared" si="21"/>
        <v>HORLAIT Nicole</v>
      </c>
      <c r="F178" s="9">
        <v>28</v>
      </c>
      <c r="G178" s="9" t="s">
        <v>84</v>
      </c>
      <c r="H178" s="214">
        <v>227287</v>
      </c>
      <c r="I178" s="4" t="s">
        <v>974</v>
      </c>
      <c r="J178" s="217"/>
      <c r="K178" s="21">
        <v>16302</v>
      </c>
      <c r="L178" s="23">
        <f t="shared" si="22"/>
        <v>72</v>
      </c>
      <c r="M178" s="23">
        <f t="shared" si="29"/>
        <v>100</v>
      </c>
      <c r="N178" s="8" t="str">
        <f ca="1" t="shared" si="24"/>
        <v> </v>
      </c>
      <c r="O178" s="8" t="str">
        <f t="shared" si="28"/>
        <v> </v>
      </c>
      <c r="P178" s="8" t="s">
        <v>1540</v>
      </c>
      <c r="Q178" s="2" t="s">
        <v>823</v>
      </c>
      <c r="R178" s="3">
        <v>1420</v>
      </c>
      <c r="S178" s="2" t="s">
        <v>535</v>
      </c>
      <c r="T178" s="2" t="s">
        <v>394</v>
      </c>
      <c r="U178" s="2"/>
      <c r="V178" s="9">
        <v>28</v>
      </c>
      <c r="W178" s="5">
        <f t="shared" si="25"/>
        <v>0</v>
      </c>
      <c r="X178" s="6">
        <f t="shared" si="26"/>
        <v>0</v>
      </c>
    </row>
    <row r="179" spans="1:24" ht="12">
      <c r="A179" s="2" t="s">
        <v>1092</v>
      </c>
      <c r="B179" s="196" t="s">
        <v>1232</v>
      </c>
      <c r="C179" s="2" t="s">
        <v>1353</v>
      </c>
      <c r="D179" s="2" t="str">
        <f t="shared" si="20"/>
        <v>Patrick HORLAIT</v>
      </c>
      <c r="E179" s="2" t="str">
        <f t="shared" si="21"/>
        <v>HORLAIT Patrick</v>
      </c>
      <c r="F179" s="9">
        <v>18.2</v>
      </c>
      <c r="G179" s="9" t="s">
        <v>84</v>
      </c>
      <c r="H179" s="214">
        <v>227286</v>
      </c>
      <c r="I179" s="4" t="s">
        <v>974</v>
      </c>
      <c r="J179" s="217" t="s">
        <v>1540</v>
      </c>
      <c r="K179" s="21">
        <v>15184</v>
      </c>
      <c r="L179" s="23">
        <f t="shared" si="22"/>
        <v>75</v>
      </c>
      <c r="M179" s="23">
        <f t="shared" si="29"/>
        <v>93.2</v>
      </c>
      <c r="N179" s="8" t="str">
        <f ca="1" t="shared" si="24"/>
        <v> </v>
      </c>
      <c r="O179" s="8" t="str">
        <f t="shared" si="28"/>
        <v> </v>
      </c>
      <c r="P179" s="8" t="s">
        <v>1540</v>
      </c>
      <c r="Q179" s="2" t="s">
        <v>823</v>
      </c>
      <c r="R179" s="3">
        <v>1420</v>
      </c>
      <c r="S179" s="2" t="s">
        <v>535</v>
      </c>
      <c r="T179" s="2" t="s">
        <v>394</v>
      </c>
      <c r="U179" s="2" t="s">
        <v>473</v>
      </c>
      <c r="V179" s="9">
        <v>18.2</v>
      </c>
      <c r="W179" s="5">
        <f t="shared" si="25"/>
        <v>0</v>
      </c>
      <c r="X179" s="6">
        <f t="shared" si="26"/>
        <v>0</v>
      </c>
    </row>
    <row r="180" spans="1:24" ht="12">
      <c r="A180" s="2" t="s">
        <v>1093</v>
      </c>
      <c r="B180" s="196" t="s">
        <v>1339</v>
      </c>
      <c r="C180" s="2" t="s">
        <v>1354</v>
      </c>
      <c r="D180" s="2" t="str">
        <f t="shared" si="20"/>
        <v>Catherine HURET </v>
      </c>
      <c r="E180" s="2" t="str">
        <f t="shared" si="21"/>
        <v>HURET  Catherine</v>
      </c>
      <c r="F180" s="9">
        <v>21.5</v>
      </c>
      <c r="G180" s="9" t="s">
        <v>84</v>
      </c>
      <c r="H180" s="214">
        <v>227297</v>
      </c>
      <c r="I180" s="4" t="s">
        <v>890</v>
      </c>
      <c r="J180" s="217" t="s">
        <v>1540</v>
      </c>
      <c r="K180" s="21">
        <v>14158</v>
      </c>
      <c r="L180" s="23">
        <f t="shared" si="22"/>
        <v>78</v>
      </c>
      <c r="M180" s="23">
        <f t="shared" si="29"/>
        <v>99.5</v>
      </c>
      <c r="N180" s="8" t="str">
        <f ca="1" t="shared" si="24"/>
        <v> </v>
      </c>
      <c r="O180" s="8" t="str">
        <f t="shared" si="28"/>
        <v> </v>
      </c>
      <c r="P180" s="8" t="s">
        <v>1540</v>
      </c>
      <c r="Q180" s="2" t="s">
        <v>465</v>
      </c>
      <c r="R180" s="3">
        <v>1410</v>
      </c>
      <c r="S180" s="2" t="s">
        <v>534</v>
      </c>
      <c r="T180" s="2" t="s">
        <v>395</v>
      </c>
      <c r="U180" s="2" t="s">
        <v>481</v>
      </c>
      <c r="V180" s="9">
        <v>21.5</v>
      </c>
      <c r="W180" s="5">
        <f t="shared" si="25"/>
        <v>0</v>
      </c>
      <c r="X180" s="6">
        <f t="shared" si="26"/>
        <v>0</v>
      </c>
    </row>
    <row r="181" spans="1:24" ht="12">
      <c r="A181" s="2" t="s">
        <v>1092</v>
      </c>
      <c r="B181" s="196" t="s">
        <v>1253</v>
      </c>
      <c r="C181" s="2" t="s">
        <v>1355</v>
      </c>
      <c r="D181" s="2" t="str">
        <f t="shared" si="20"/>
        <v>Pierre IDE </v>
      </c>
      <c r="E181" s="2" t="str">
        <f t="shared" si="21"/>
        <v>IDE  Pierre</v>
      </c>
      <c r="F181" s="9">
        <v>26.8</v>
      </c>
      <c r="G181" s="9" t="s">
        <v>84</v>
      </c>
      <c r="H181" s="214">
        <v>227299</v>
      </c>
      <c r="I181" s="4" t="s">
        <v>1766</v>
      </c>
      <c r="J181" s="217" t="s">
        <v>1540</v>
      </c>
      <c r="K181" s="21">
        <v>14647</v>
      </c>
      <c r="L181" s="23">
        <f t="shared" si="22"/>
        <v>77</v>
      </c>
      <c r="M181" s="23">
        <f t="shared" si="29"/>
        <v>103.8</v>
      </c>
      <c r="N181" s="8" t="str">
        <f ca="1" t="shared" si="24"/>
        <v> </v>
      </c>
      <c r="O181" s="8" t="str">
        <f t="shared" si="28"/>
        <v> </v>
      </c>
      <c r="P181" s="8" t="s">
        <v>1540</v>
      </c>
      <c r="Q181" s="2" t="s">
        <v>824</v>
      </c>
      <c r="R181" s="3">
        <v>1652</v>
      </c>
      <c r="S181" s="2" t="s">
        <v>542</v>
      </c>
      <c r="T181" s="2" t="s">
        <v>637</v>
      </c>
      <c r="U181" s="2" t="s">
        <v>638</v>
      </c>
      <c r="V181" s="9">
        <v>26.8</v>
      </c>
      <c r="W181" s="5">
        <f t="shared" si="25"/>
        <v>0</v>
      </c>
      <c r="X181" s="6">
        <f t="shared" si="26"/>
        <v>0</v>
      </c>
    </row>
    <row r="182" spans="1:24" ht="12">
      <c r="A182" s="2" t="s">
        <v>1092</v>
      </c>
      <c r="B182" s="196" t="s">
        <v>1218</v>
      </c>
      <c r="C182" s="2" t="s">
        <v>1356</v>
      </c>
      <c r="D182" s="2" t="str">
        <f t="shared" si="20"/>
        <v>Jean JACOBS</v>
      </c>
      <c r="E182" s="2" t="str">
        <f t="shared" si="21"/>
        <v>JACOBS Jean</v>
      </c>
      <c r="F182" s="9">
        <v>26.9</v>
      </c>
      <c r="G182" s="9" t="s">
        <v>84</v>
      </c>
      <c r="H182" s="214">
        <v>227306</v>
      </c>
      <c r="I182" s="4" t="s">
        <v>975</v>
      </c>
      <c r="J182" s="217"/>
      <c r="K182" s="21">
        <v>13624</v>
      </c>
      <c r="L182" s="23">
        <f t="shared" si="22"/>
        <v>80</v>
      </c>
      <c r="M182" s="23">
        <f t="shared" si="29"/>
        <v>106.9</v>
      </c>
      <c r="N182" s="8" t="str">
        <f ca="1" t="shared" si="24"/>
        <v> </v>
      </c>
      <c r="O182" s="8" t="str">
        <f t="shared" si="28"/>
        <v> </v>
      </c>
      <c r="P182" s="8" t="s">
        <v>1540</v>
      </c>
      <c r="Q182" s="2" t="s">
        <v>825</v>
      </c>
      <c r="R182" s="3">
        <v>1180</v>
      </c>
      <c r="S182" s="2" t="s">
        <v>546</v>
      </c>
      <c r="T182" s="2" t="s">
        <v>396</v>
      </c>
      <c r="U182" s="2" t="s">
        <v>182</v>
      </c>
      <c r="V182" s="9">
        <v>26.9</v>
      </c>
      <c r="W182" s="5">
        <f t="shared" si="25"/>
        <v>0</v>
      </c>
      <c r="X182" s="6">
        <f t="shared" si="26"/>
        <v>0</v>
      </c>
    </row>
    <row r="183" spans="1:24" ht="12">
      <c r="A183" s="2" t="s">
        <v>1093</v>
      </c>
      <c r="B183" s="196" t="s">
        <v>1337</v>
      </c>
      <c r="C183" s="2" t="s">
        <v>1357</v>
      </c>
      <c r="D183" s="2" t="str">
        <f t="shared" si="20"/>
        <v>Sylviane JACOBS </v>
      </c>
      <c r="E183" s="2" t="str">
        <f t="shared" si="21"/>
        <v>JACOBS  Sylviane</v>
      </c>
      <c r="F183" s="9">
        <v>13.6</v>
      </c>
      <c r="G183" s="9" t="s">
        <v>84</v>
      </c>
      <c r="H183" s="214">
        <v>227307</v>
      </c>
      <c r="I183" s="4" t="s">
        <v>976</v>
      </c>
      <c r="J183" s="217"/>
      <c r="K183" s="21">
        <v>17550</v>
      </c>
      <c r="L183" s="23">
        <f t="shared" si="22"/>
        <v>69</v>
      </c>
      <c r="M183" s="23">
        <f t="shared" si="29"/>
        <v>82.6</v>
      </c>
      <c r="N183" s="8" t="str">
        <f ca="1" t="shared" si="24"/>
        <v> </v>
      </c>
      <c r="O183" s="8" t="str">
        <f t="shared" si="28"/>
        <v> </v>
      </c>
      <c r="P183" s="8" t="s">
        <v>1540</v>
      </c>
      <c r="Q183" s="2" t="s">
        <v>825</v>
      </c>
      <c r="R183" s="3">
        <v>1180</v>
      </c>
      <c r="S183" s="2" t="s">
        <v>546</v>
      </c>
      <c r="T183" s="2" t="s">
        <v>396</v>
      </c>
      <c r="U183" s="2" t="s">
        <v>602</v>
      </c>
      <c r="V183" s="9">
        <v>13.6</v>
      </c>
      <c r="W183" s="5">
        <f t="shared" si="25"/>
        <v>0</v>
      </c>
      <c r="X183" s="6">
        <f t="shared" si="26"/>
        <v>0</v>
      </c>
    </row>
    <row r="184" spans="1:24" ht="12">
      <c r="A184" s="2" t="s">
        <v>1093</v>
      </c>
      <c r="B184" s="196" t="s">
        <v>1376</v>
      </c>
      <c r="C184" s="2" t="s">
        <v>1358</v>
      </c>
      <c r="D184" s="2" t="str">
        <f t="shared" si="20"/>
        <v>Brigitte JACQUET</v>
      </c>
      <c r="E184" s="2" t="str">
        <f t="shared" si="21"/>
        <v>JACQUET Brigitte</v>
      </c>
      <c r="F184" s="9">
        <v>36</v>
      </c>
      <c r="G184" s="9" t="s">
        <v>84</v>
      </c>
      <c r="H184" s="214">
        <v>1010517</v>
      </c>
      <c r="I184" s="4" t="s">
        <v>1925</v>
      </c>
      <c r="J184" s="217" t="s">
        <v>1540</v>
      </c>
      <c r="K184" s="21">
        <v>18255</v>
      </c>
      <c r="L184" s="23">
        <f t="shared" si="22"/>
        <v>67</v>
      </c>
      <c r="M184" s="23">
        <f t="shared" si="29"/>
        <v>103</v>
      </c>
      <c r="N184" s="8" t="str">
        <f ca="1" t="shared" si="24"/>
        <v> </v>
      </c>
      <c r="O184" s="8" t="str">
        <f t="shared" si="28"/>
        <v> </v>
      </c>
      <c r="P184" s="8" t="s">
        <v>1540</v>
      </c>
      <c r="Q184" s="2" t="s">
        <v>1740</v>
      </c>
      <c r="R184" s="3">
        <v>1650</v>
      </c>
      <c r="S184" s="2" t="s">
        <v>347</v>
      </c>
      <c r="T184" s="2" t="s">
        <v>775</v>
      </c>
      <c r="U184" s="2" t="s">
        <v>1741</v>
      </c>
      <c r="V184" s="9">
        <v>36</v>
      </c>
      <c r="W184" s="5">
        <f t="shared" si="25"/>
        <v>0</v>
      </c>
      <c r="X184" s="6">
        <f t="shared" si="26"/>
        <v>0</v>
      </c>
    </row>
    <row r="185" spans="1:24" ht="12">
      <c r="A185" s="2" t="s">
        <v>1092</v>
      </c>
      <c r="B185" s="196" t="s">
        <v>1340</v>
      </c>
      <c r="C185" s="2" t="s">
        <v>1358</v>
      </c>
      <c r="D185" s="2" t="str">
        <f t="shared" si="20"/>
        <v>Maurice-Paul JACQUET</v>
      </c>
      <c r="E185" s="2" t="str">
        <f t="shared" si="21"/>
        <v>JACQUET Maurice-Paul</v>
      </c>
      <c r="F185" s="9">
        <v>35</v>
      </c>
      <c r="G185" s="9" t="s">
        <v>84</v>
      </c>
      <c r="H185" s="214">
        <v>1007870</v>
      </c>
      <c r="I185" s="4" t="s">
        <v>977</v>
      </c>
      <c r="J185" s="217" t="s">
        <v>1540</v>
      </c>
      <c r="K185" s="21">
        <v>17492</v>
      </c>
      <c r="L185" s="23">
        <f t="shared" si="22"/>
        <v>69</v>
      </c>
      <c r="M185" s="23">
        <f t="shared" si="29"/>
        <v>104</v>
      </c>
      <c r="N185" s="8" t="str">
        <f ca="1" t="shared" si="24"/>
        <v> </v>
      </c>
      <c r="O185" s="8" t="str">
        <f t="shared" si="28"/>
        <v> </v>
      </c>
      <c r="P185" s="8" t="s">
        <v>1540</v>
      </c>
      <c r="Q185" s="2" t="s">
        <v>826</v>
      </c>
      <c r="R185" s="3">
        <v>1650</v>
      </c>
      <c r="S185" s="2" t="s">
        <v>347</v>
      </c>
      <c r="T185" s="2" t="s">
        <v>775</v>
      </c>
      <c r="U185" s="2" t="s">
        <v>776</v>
      </c>
      <c r="V185" s="9">
        <v>35</v>
      </c>
      <c r="W185" s="5">
        <f t="shared" si="25"/>
        <v>0</v>
      </c>
      <c r="X185" s="6">
        <f t="shared" si="26"/>
        <v>0</v>
      </c>
    </row>
    <row r="186" spans="1:24" ht="12">
      <c r="A186" s="2" t="s">
        <v>1093</v>
      </c>
      <c r="B186" s="196" t="s">
        <v>1341</v>
      </c>
      <c r="C186" s="2" t="s">
        <v>1359</v>
      </c>
      <c r="D186" s="2" t="str">
        <f t="shared" si="20"/>
        <v>Jeanne-Hélène JADOULLE</v>
      </c>
      <c r="E186" s="2" t="str">
        <f t="shared" si="21"/>
        <v>JADOULLE Jeanne-Hélène</v>
      </c>
      <c r="F186" s="9">
        <v>33</v>
      </c>
      <c r="G186" s="9" t="s">
        <v>84</v>
      </c>
      <c r="H186" s="214">
        <v>227312</v>
      </c>
      <c r="I186" s="4" t="s">
        <v>978</v>
      </c>
      <c r="J186" s="217" t="s">
        <v>1540</v>
      </c>
      <c r="K186" s="21">
        <v>14948</v>
      </c>
      <c r="L186" s="23">
        <f t="shared" si="22"/>
        <v>76</v>
      </c>
      <c r="M186" s="23">
        <f t="shared" si="29"/>
        <v>109</v>
      </c>
      <c r="N186" s="8" t="str">
        <f ca="1" t="shared" si="24"/>
        <v> </v>
      </c>
      <c r="O186" s="8" t="str">
        <f t="shared" si="28"/>
        <v> </v>
      </c>
      <c r="P186" s="8" t="s">
        <v>1540</v>
      </c>
      <c r="Q186" s="2" t="s">
        <v>827</v>
      </c>
      <c r="R186" s="3">
        <v>1420</v>
      </c>
      <c r="S186" s="2" t="s">
        <v>535</v>
      </c>
      <c r="T186" s="2" t="s">
        <v>585</v>
      </c>
      <c r="U186" s="2" t="s">
        <v>482</v>
      </c>
      <c r="V186" s="9">
        <v>33</v>
      </c>
      <c r="W186" s="5">
        <f t="shared" si="25"/>
        <v>0</v>
      </c>
      <c r="X186" s="6">
        <f t="shared" si="26"/>
        <v>0</v>
      </c>
    </row>
    <row r="187" spans="1:24" ht="12">
      <c r="A187" s="2" t="s">
        <v>1092</v>
      </c>
      <c r="B187" s="196" t="s">
        <v>1342</v>
      </c>
      <c r="C187" s="2" t="s">
        <v>1359</v>
      </c>
      <c r="D187" s="2" t="str">
        <f t="shared" si="20"/>
        <v>Philippe JADOULLE</v>
      </c>
      <c r="E187" s="2" t="str">
        <f t="shared" si="21"/>
        <v>JADOULLE Philippe</v>
      </c>
      <c r="F187" s="9">
        <v>28.5</v>
      </c>
      <c r="G187" s="9" t="s">
        <v>84</v>
      </c>
      <c r="H187" s="214">
        <v>227311</v>
      </c>
      <c r="I187" s="4" t="s">
        <v>978</v>
      </c>
      <c r="J187" s="217" t="s">
        <v>1540</v>
      </c>
      <c r="K187" s="21">
        <v>14222</v>
      </c>
      <c r="L187" s="23">
        <f t="shared" si="22"/>
        <v>78</v>
      </c>
      <c r="M187" s="23">
        <f t="shared" si="29"/>
        <v>106.5</v>
      </c>
      <c r="N187" s="8" t="str">
        <f ca="1" t="shared" si="24"/>
        <v> </v>
      </c>
      <c r="O187" s="8" t="str">
        <f t="shared" si="28"/>
        <v> </v>
      </c>
      <c r="P187" s="8" t="s">
        <v>1540</v>
      </c>
      <c r="Q187" s="2" t="s">
        <v>827</v>
      </c>
      <c r="R187" s="3">
        <v>1420</v>
      </c>
      <c r="S187" s="2" t="s">
        <v>535</v>
      </c>
      <c r="T187" s="2" t="s">
        <v>585</v>
      </c>
      <c r="U187" s="2" t="s">
        <v>500</v>
      </c>
      <c r="V187" s="9">
        <v>28.5</v>
      </c>
      <c r="W187" s="5">
        <f t="shared" si="25"/>
        <v>0</v>
      </c>
      <c r="X187" s="6">
        <f t="shared" si="26"/>
        <v>0</v>
      </c>
    </row>
    <row r="188" spans="1:24" ht="12">
      <c r="A188" s="2" t="s">
        <v>1093</v>
      </c>
      <c r="B188" s="196" t="s">
        <v>1226</v>
      </c>
      <c r="C188" s="2" t="s">
        <v>1360</v>
      </c>
      <c r="D188" s="2" t="str">
        <f t="shared" si="20"/>
        <v>Françoise JANATI</v>
      </c>
      <c r="E188" s="2" t="str">
        <f t="shared" si="21"/>
        <v>JANATI Françoise</v>
      </c>
      <c r="F188" s="9">
        <v>24.7</v>
      </c>
      <c r="G188" s="9" t="s">
        <v>84</v>
      </c>
      <c r="H188" s="214">
        <v>227317</v>
      </c>
      <c r="I188" s="4" t="s">
        <v>979</v>
      </c>
      <c r="J188" s="217" t="s">
        <v>1540</v>
      </c>
      <c r="K188" s="21">
        <v>21118</v>
      </c>
      <c r="L188" s="23">
        <f t="shared" si="22"/>
        <v>59</v>
      </c>
      <c r="M188" s="23">
        <f t="shared" si="29"/>
        <v>83.7</v>
      </c>
      <c r="N188" s="8" t="str">
        <f ca="1" t="shared" si="24"/>
        <v> </v>
      </c>
      <c r="O188" s="8" t="str">
        <f t="shared" si="28"/>
        <v> </v>
      </c>
      <c r="P188" s="8" t="s">
        <v>1540</v>
      </c>
      <c r="Q188" s="2" t="s">
        <v>828</v>
      </c>
      <c r="R188" s="3">
        <v>1000</v>
      </c>
      <c r="S188" s="2" t="s">
        <v>546</v>
      </c>
      <c r="T188" s="2" t="s">
        <v>474</v>
      </c>
      <c r="U188" s="2" t="s">
        <v>586</v>
      </c>
      <c r="V188" s="9">
        <v>24.7</v>
      </c>
      <c r="W188" s="5">
        <f t="shared" si="25"/>
        <v>0</v>
      </c>
      <c r="X188" s="6">
        <f t="shared" si="26"/>
        <v>0</v>
      </c>
    </row>
    <row r="189" spans="1:24" ht="12">
      <c r="A189" s="2" t="s">
        <v>1093</v>
      </c>
      <c r="B189" s="196" t="s">
        <v>1361</v>
      </c>
      <c r="C189" s="2" t="s">
        <v>1362</v>
      </c>
      <c r="D189" s="2" t="str">
        <f t="shared" si="20"/>
        <v>Maria Pia JANSSENS</v>
      </c>
      <c r="E189" s="2" t="str">
        <f t="shared" si="21"/>
        <v>JANSSENS Maria Pia</v>
      </c>
      <c r="F189" s="9">
        <v>15.3</v>
      </c>
      <c r="G189" s="9" t="s">
        <v>84</v>
      </c>
      <c r="H189" s="214">
        <v>711939</v>
      </c>
      <c r="I189" s="4" t="s">
        <v>980</v>
      </c>
      <c r="J189" s="217" t="s">
        <v>1540</v>
      </c>
      <c r="K189" s="21">
        <v>19516</v>
      </c>
      <c r="L189" s="23">
        <f t="shared" si="22"/>
        <v>64</v>
      </c>
      <c r="M189" s="23">
        <f t="shared" si="29"/>
        <v>79.3</v>
      </c>
      <c r="N189" s="8" t="str">
        <f ca="1" t="shared" si="24"/>
        <v> </v>
      </c>
      <c r="O189" s="8" t="str">
        <f t="shared" si="28"/>
        <v> </v>
      </c>
      <c r="P189" s="8" t="s">
        <v>1540</v>
      </c>
      <c r="Q189" s="2" t="s">
        <v>1988</v>
      </c>
      <c r="R189" s="3">
        <v>1410</v>
      </c>
      <c r="S189" s="2" t="s">
        <v>534</v>
      </c>
      <c r="T189" s="2" t="s">
        <v>353</v>
      </c>
      <c r="U189" s="2" t="s">
        <v>552</v>
      </c>
      <c r="V189" s="9">
        <v>15.3</v>
      </c>
      <c r="W189" s="5">
        <f t="shared" si="25"/>
        <v>0</v>
      </c>
      <c r="X189" s="6">
        <f t="shared" si="26"/>
        <v>0</v>
      </c>
    </row>
    <row r="190" spans="1:24" ht="12">
      <c r="A190" s="2" t="s">
        <v>1092</v>
      </c>
      <c r="B190" s="196" t="s">
        <v>1267</v>
      </c>
      <c r="C190" s="2" t="s">
        <v>1363</v>
      </c>
      <c r="D190" s="2" t="str">
        <f t="shared" si="20"/>
        <v>Jean-Pierre JEAN </v>
      </c>
      <c r="E190" s="2" t="str">
        <f t="shared" si="21"/>
        <v>JEAN  Jean-Pierre</v>
      </c>
      <c r="F190" s="9">
        <v>17.8</v>
      </c>
      <c r="G190" s="9" t="s">
        <v>84</v>
      </c>
      <c r="H190" s="214">
        <v>227323</v>
      </c>
      <c r="I190" s="4" t="s">
        <v>981</v>
      </c>
      <c r="J190" s="217"/>
      <c r="K190" s="21">
        <v>14965</v>
      </c>
      <c r="L190" s="23">
        <f t="shared" si="22"/>
        <v>76</v>
      </c>
      <c r="M190" s="23">
        <f t="shared" si="29"/>
        <v>93.8</v>
      </c>
      <c r="N190" s="8" t="str">
        <f ca="1" t="shared" si="24"/>
        <v> </v>
      </c>
      <c r="O190" s="8" t="str">
        <f t="shared" si="28"/>
        <v> </v>
      </c>
      <c r="P190" s="8"/>
      <c r="Q190" s="2" t="s">
        <v>829</v>
      </c>
      <c r="R190" s="3">
        <v>1410</v>
      </c>
      <c r="S190" s="2" t="s">
        <v>534</v>
      </c>
      <c r="T190" s="2" t="s">
        <v>587</v>
      </c>
      <c r="U190" s="2" t="s">
        <v>723</v>
      </c>
      <c r="V190" s="9">
        <v>17.8</v>
      </c>
      <c r="W190" s="5">
        <f t="shared" si="25"/>
        <v>0</v>
      </c>
      <c r="X190" s="6">
        <f t="shared" si="26"/>
        <v>0</v>
      </c>
    </row>
    <row r="191" spans="1:24" ht="12">
      <c r="A191" s="2" t="s">
        <v>1093</v>
      </c>
      <c r="B191" s="196" t="s">
        <v>1315</v>
      </c>
      <c r="C191" s="2" t="s">
        <v>1363</v>
      </c>
      <c r="D191" s="2" t="str">
        <f t="shared" si="20"/>
        <v>Michèle JEAN </v>
      </c>
      <c r="E191" s="2" t="str">
        <f t="shared" si="21"/>
        <v>JEAN  Michèle</v>
      </c>
      <c r="F191" s="9">
        <v>14.3</v>
      </c>
      <c r="G191" s="9" t="s">
        <v>84</v>
      </c>
      <c r="H191" s="214">
        <v>227324</v>
      </c>
      <c r="I191" s="4" t="s">
        <v>982</v>
      </c>
      <c r="J191" s="217" t="s">
        <v>1540</v>
      </c>
      <c r="K191" s="21">
        <v>17411</v>
      </c>
      <c r="L191" s="23">
        <f t="shared" si="22"/>
        <v>69</v>
      </c>
      <c r="M191" s="23">
        <f t="shared" si="29"/>
        <v>83.3</v>
      </c>
      <c r="N191" s="8" t="str">
        <f ca="1" t="shared" si="24"/>
        <v> </v>
      </c>
      <c r="O191" s="8" t="str">
        <f t="shared" si="28"/>
        <v> </v>
      </c>
      <c r="P191" s="8"/>
      <c r="Q191" s="2" t="s">
        <v>829</v>
      </c>
      <c r="R191" s="3">
        <v>1410</v>
      </c>
      <c r="S191" s="2" t="s">
        <v>534</v>
      </c>
      <c r="T191" s="2" t="s">
        <v>587</v>
      </c>
      <c r="U191" s="2" t="s">
        <v>588</v>
      </c>
      <c r="V191" s="9">
        <v>14.3</v>
      </c>
      <c r="W191" s="5">
        <f t="shared" si="25"/>
        <v>0</v>
      </c>
      <c r="X191" s="6">
        <f t="shared" si="26"/>
        <v>0</v>
      </c>
    </row>
    <row r="192" spans="1:24" ht="12">
      <c r="A192" s="2" t="s">
        <v>1093</v>
      </c>
      <c r="B192" s="196" t="s">
        <v>1343</v>
      </c>
      <c r="C192" s="2" t="s">
        <v>1364</v>
      </c>
      <c r="D192" s="2" t="str">
        <f t="shared" si="20"/>
        <v>Carole JEMELKA</v>
      </c>
      <c r="E192" s="2" t="str">
        <f t="shared" si="21"/>
        <v>JEMELKA Carole</v>
      </c>
      <c r="F192" s="9">
        <v>36</v>
      </c>
      <c r="G192" s="9" t="s">
        <v>84</v>
      </c>
      <c r="H192" s="214">
        <v>1000869</v>
      </c>
      <c r="I192" s="4" t="s">
        <v>983</v>
      </c>
      <c r="J192" s="217" t="s">
        <v>1540</v>
      </c>
      <c r="K192" s="21">
        <v>19466</v>
      </c>
      <c r="L192" s="23">
        <f t="shared" si="22"/>
        <v>64</v>
      </c>
      <c r="M192" s="23">
        <f t="shared" si="29"/>
        <v>100</v>
      </c>
      <c r="N192" s="8" t="str">
        <f ca="1" t="shared" si="24"/>
        <v> </v>
      </c>
      <c r="O192" s="8" t="str">
        <f t="shared" si="28"/>
        <v> </v>
      </c>
      <c r="P192" s="8" t="s">
        <v>1540</v>
      </c>
      <c r="Q192" s="2" t="s">
        <v>830</v>
      </c>
      <c r="R192" s="3">
        <v>1420</v>
      </c>
      <c r="S192" s="2" t="s">
        <v>535</v>
      </c>
      <c r="T192" s="2" t="s">
        <v>783</v>
      </c>
      <c r="U192" s="2" t="s">
        <v>784</v>
      </c>
      <c r="V192" s="9">
        <v>36</v>
      </c>
      <c r="W192" s="5">
        <f t="shared" si="25"/>
        <v>0</v>
      </c>
      <c r="X192" s="6">
        <f t="shared" si="26"/>
        <v>0</v>
      </c>
    </row>
    <row r="193" spans="1:24" ht="12">
      <c r="A193" s="2" t="s">
        <v>1092</v>
      </c>
      <c r="B193" s="196" t="s">
        <v>1345</v>
      </c>
      <c r="C193" s="2" t="s">
        <v>1365</v>
      </c>
      <c r="D193" s="2" t="str">
        <f t="shared" si="20"/>
        <v>Benoît JOOS de ter BEERST </v>
      </c>
      <c r="E193" s="2" t="str">
        <f t="shared" si="21"/>
        <v>JOOS de ter BEERST  Benoît</v>
      </c>
      <c r="F193" s="9">
        <v>10.5</v>
      </c>
      <c r="G193" s="9" t="s">
        <v>84</v>
      </c>
      <c r="H193" s="214">
        <v>227332</v>
      </c>
      <c r="I193" s="4" t="s">
        <v>984</v>
      </c>
      <c r="J193" s="217" t="s">
        <v>1540</v>
      </c>
      <c r="K193" s="21">
        <v>16600</v>
      </c>
      <c r="L193" s="23">
        <f t="shared" si="22"/>
        <v>72</v>
      </c>
      <c r="M193" s="23">
        <f t="shared" si="29"/>
        <v>82.5</v>
      </c>
      <c r="N193" s="8" t="str">
        <f ca="1" t="shared" si="24"/>
        <v> </v>
      </c>
      <c r="O193" s="8" t="str">
        <f t="shared" si="28"/>
        <v> </v>
      </c>
      <c r="P193" s="8"/>
      <c r="Q193" s="2" t="s">
        <v>831</v>
      </c>
      <c r="R193" s="3">
        <v>1440</v>
      </c>
      <c r="S193" s="2" t="s">
        <v>589</v>
      </c>
      <c r="T193" s="2" t="s">
        <v>402</v>
      </c>
      <c r="U193" s="2" t="s">
        <v>676</v>
      </c>
      <c r="V193" s="9">
        <v>10.5</v>
      </c>
      <c r="W193" s="5">
        <f t="shared" si="25"/>
        <v>0</v>
      </c>
      <c r="X193" s="6">
        <f t="shared" si="26"/>
        <v>0</v>
      </c>
    </row>
    <row r="194" spans="1:24" ht="12">
      <c r="A194" s="2" t="s">
        <v>1092</v>
      </c>
      <c r="B194" s="196" t="s">
        <v>1146</v>
      </c>
      <c r="C194" s="2" t="s">
        <v>1366</v>
      </c>
      <c r="D194" s="2" t="str">
        <f aca="true" t="shared" si="30" ref="D194:D257">B194&amp;" "&amp;C194</f>
        <v>Michel KAHAN</v>
      </c>
      <c r="E194" s="2" t="str">
        <f aca="true" t="shared" si="31" ref="E194:E257">C194&amp;" "&amp;B194</f>
        <v>KAHAN Michel</v>
      </c>
      <c r="F194" s="9">
        <v>36</v>
      </c>
      <c r="G194" s="9" t="s">
        <v>84</v>
      </c>
      <c r="H194" s="214">
        <v>707210</v>
      </c>
      <c r="I194" s="4" t="s">
        <v>1134</v>
      </c>
      <c r="J194" s="217" t="s">
        <v>1540</v>
      </c>
      <c r="K194" s="21">
        <v>16560</v>
      </c>
      <c r="L194" s="23">
        <f aca="true" t="shared" si="32" ref="L194:L257">YEAR(jourdhui)-YEAR(K194)-IF(MONTH(K194)&gt;MONTH(jourdhui),1,0)-(IF(MONTH(K194)=MONTH(jourdhui),1,0)*IF(DAY(K194)&gt;DAY(jourdhui),1,0))</f>
        <v>72</v>
      </c>
      <c r="M194" s="23">
        <f t="shared" si="29"/>
        <v>108</v>
      </c>
      <c r="N194" s="8" t="str">
        <f aca="true" ca="1" t="shared" si="33" ref="N194:N257">IF((IF(DAY(K194)=DAY(TODAY()),1,0)+IF(MONTH(K194)=MONTH(TODAY()),1,0))=2,"y"," ")</f>
        <v> </v>
      </c>
      <c r="O194" s="8" t="str">
        <f t="shared" si="28"/>
        <v> </v>
      </c>
      <c r="P194" s="8"/>
      <c r="Q194" s="2" t="s">
        <v>1110</v>
      </c>
      <c r="R194" s="3">
        <v>1640</v>
      </c>
      <c r="S194" s="2" t="s">
        <v>345</v>
      </c>
      <c r="T194" s="2" t="s">
        <v>1111</v>
      </c>
      <c r="U194" s="2" t="s">
        <v>1112</v>
      </c>
      <c r="V194" s="9">
        <v>36</v>
      </c>
      <c r="W194" s="5">
        <f aca="true" t="shared" si="34" ref="W194:W257">F194-V194</f>
        <v>0</v>
      </c>
      <c r="X194" s="6">
        <f aca="true" t="shared" si="35" ref="X194:X257">(V194-F194)/V194</f>
        <v>0</v>
      </c>
    </row>
    <row r="195" spans="1:24" ht="12">
      <c r="A195" s="2" t="s">
        <v>1092</v>
      </c>
      <c r="B195" s="196" t="s">
        <v>1929</v>
      </c>
      <c r="C195" s="2" t="s">
        <v>1930</v>
      </c>
      <c r="D195" s="2" t="str">
        <f t="shared" si="30"/>
        <v>José KEUWEZ</v>
      </c>
      <c r="E195" s="2" t="str">
        <f t="shared" si="31"/>
        <v>KEUWEZ José</v>
      </c>
      <c r="F195" s="9">
        <v>32.9</v>
      </c>
      <c r="G195" s="9" t="s">
        <v>84</v>
      </c>
      <c r="H195" s="214">
        <v>385961</v>
      </c>
      <c r="I195" s="4" t="s">
        <v>1984</v>
      </c>
      <c r="J195" s="217" t="s">
        <v>1540</v>
      </c>
      <c r="K195" s="21">
        <v>18940</v>
      </c>
      <c r="L195" s="23">
        <f t="shared" si="32"/>
        <v>65</v>
      </c>
      <c r="M195" s="23">
        <f t="shared" si="29"/>
        <v>97.9</v>
      </c>
      <c r="N195" s="8" t="str">
        <f ca="1" t="shared" si="33"/>
        <v> </v>
      </c>
      <c r="O195" s="8" t="str">
        <f t="shared" si="28"/>
        <v>y</v>
      </c>
      <c r="P195" s="8" t="s">
        <v>1540</v>
      </c>
      <c r="Q195" s="2" t="s">
        <v>1936</v>
      </c>
      <c r="R195" s="3">
        <v>1640</v>
      </c>
      <c r="S195" s="2" t="s">
        <v>345</v>
      </c>
      <c r="T195" s="2" t="s">
        <v>1934</v>
      </c>
      <c r="U195" s="2" t="s">
        <v>1935</v>
      </c>
      <c r="V195" s="9">
        <v>32.9</v>
      </c>
      <c r="W195" s="5">
        <f t="shared" si="34"/>
        <v>0</v>
      </c>
      <c r="X195" s="6">
        <f t="shared" si="35"/>
        <v>0</v>
      </c>
    </row>
    <row r="196" spans="1:24" ht="12">
      <c r="A196" s="2" t="s">
        <v>1093</v>
      </c>
      <c r="B196" s="196" t="s">
        <v>57</v>
      </c>
      <c r="C196" s="2" t="s">
        <v>157</v>
      </c>
      <c r="D196" s="2" t="str">
        <f t="shared" si="30"/>
        <v>Rhonda KING-PERRAUDIN</v>
      </c>
      <c r="E196" s="2" t="str">
        <f t="shared" si="31"/>
        <v>KING-PERRAUDIN Rhonda</v>
      </c>
      <c r="F196" s="9">
        <v>13.6</v>
      </c>
      <c r="G196" s="9" t="s">
        <v>84</v>
      </c>
      <c r="H196" s="214">
        <v>720911</v>
      </c>
      <c r="I196" s="4" t="s">
        <v>159</v>
      </c>
      <c r="J196" s="217"/>
      <c r="K196" s="21">
        <v>20929</v>
      </c>
      <c r="L196" s="23">
        <f t="shared" si="32"/>
        <v>60</v>
      </c>
      <c r="M196" s="23">
        <f t="shared" si="29"/>
        <v>73.6</v>
      </c>
      <c r="N196" s="8" t="str">
        <f ca="1" t="shared" si="33"/>
        <v> </v>
      </c>
      <c r="O196" s="8" t="str">
        <f t="shared" si="28"/>
        <v> </v>
      </c>
      <c r="P196" s="8"/>
      <c r="Q196" s="2" t="s">
        <v>58</v>
      </c>
      <c r="R196" s="3">
        <v>1410</v>
      </c>
      <c r="S196" s="2" t="s">
        <v>534</v>
      </c>
      <c r="T196" s="2" t="s">
        <v>59</v>
      </c>
      <c r="U196" s="2"/>
      <c r="V196" s="9">
        <v>13.6</v>
      </c>
      <c r="W196" s="5">
        <f t="shared" si="34"/>
        <v>0</v>
      </c>
      <c r="X196" s="6">
        <f t="shared" si="35"/>
        <v>0</v>
      </c>
    </row>
    <row r="197" spans="1:24" ht="12">
      <c r="A197" s="2" t="s">
        <v>1093</v>
      </c>
      <c r="B197" s="196" t="s">
        <v>1346</v>
      </c>
      <c r="C197" s="2" t="s">
        <v>1367</v>
      </c>
      <c r="D197" s="2" t="str">
        <f t="shared" si="30"/>
        <v>Carola KRICK </v>
      </c>
      <c r="E197" s="2" t="str">
        <f t="shared" si="31"/>
        <v>KRICK  Carola</v>
      </c>
      <c r="F197" s="9">
        <v>14</v>
      </c>
      <c r="G197" s="9" t="s">
        <v>84</v>
      </c>
      <c r="H197" s="214">
        <v>227366</v>
      </c>
      <c r="I197" s="4" t="s">
        <v>985</v>
      </c>
      <c r="J197" s="217"/>
      <c r="K197" s="21">
        <v>16904</v>
      </c>
      <c r="L197" s="23">
        <f t="shared" si="32"/>
        <v>71</v>
      </c>
      <c r="M197" s="23">
        <f t="shared" si="29"/>
        <v>85</v>
      </c>
      <c r="N197" s="8" t="str">
        <f ca="1" t="shared" si="33"/>
        <v> </v>
      </c>
      <c r="O197" s="8" t="str">
        <f t="shared" si="28"/>
        <v> </v>
      </c>
      <c r="P197" s="8"/>
      <c r="Q197" s="2" t="s">
        <v>832</v>
      </c>
      <c r="R197" s="3">
        <v>1050</v>
      </c>
      <c r="S197" s="2" t="s">
        <v>546</v>
      </c>
      <c r="T197" s="2" t="s">
        <v>2</v>
      </c>
      <c r="U197" s="2" t="s">
        <v>403</v>
      </c>
      <c r="V197" s="9">
        <v>14</v>
      </c>
      <c r="W197" s="5">
        <f t="shared" si="34"/>
        <v>0</v>
      </c>
      <c r="X197" s="6">
        <f t="shared" si="35"/>
        <v>0</v>
      </c>
    </row>
    <row r="198" spans="1:24" ht="12">
      <c r="A198" s="2" t="s">
        <v>1092</v>
      </c>
      <c r="B198" s="196" t="s">
        <v>1342</v>
      </c>
      <c r="C198" s="2" t="s">
        <v>1944</v>
      </c>
      <c r="D198" s="2" t="str">
        <f t="shared" si="30"/>
        <v>Philippe LACOURT</v>
      </c>
      <c r="E198" s="2" t="str">
        <f t="shared" si="31"/>
        <v>LACOURT Philippe</v>
      </c>
      <c r="F198" s="9">
        <v>14.3</v>
      </c>
      <c r="G198" s="9" t="s">
        <v>84</v>
      </c>
      <c r="H198" s="214">
        <v>227381</v>
      </c>
      <c r="I198" s="4" t="s">
        <v>1960</v>
      </c>
      <c r="J198" s="217"/>
      <c r="K198" s="21">
        <v>19338</v>
      </c>
      <c r="L198" s="23">
        <f t="shared" si="32"/>
        <v>64</v>
      </c>
      <c r="M198" s="23">
        <f t="shared" si="29"/>
        <v>78.3</v>
      </c>
      <c r="N198" s="8" t="str">
        <f ca="1" t="shared" si="33"/>
        <v> </v>
      </c>
      <c r="O198" s="8" t="str">
        <f t="shared" si="28"/>
        <v> </v>
      </c>
      <c r="P198" s="8"/>
      <c r="Q198" s="2" t="s">
        <v>1961</v>
      </c>
      <c r="R198" s="3">
        <v>1640</v>
      </c>
      <c r="S198" s="2" t="s">
        <v>345</v>
      </c>
      <c r="T198" s="2"/>
      <c r="U198" s="2" t="s">
        <v>1962</v>
      </c>
      <c r="V198" s="9">
        <v>14.3</v>
      </c>
      <c r="W198" s="5">
        <f t="shared" si="34"/>
        <v>0</v>
      </c>
      <c r="X198" s="6">
        <f t="shared" si="35"/>
        <v>0</v>
      </c>
    </row>
    <row r="199" spans="1:24" ht="12">
      <c r="A199" s="2" t="s">
        <v>1093</v>
      </c>
      <c r="B199" s="196" t="s">
        <v>1347</v>
      </c>
      <c r="C199" s="2" t="s">
        <v>1368</v>
      </c>
      <c r="D199" s="2" t="str">
        <f t="shared" si="30"/>
        <v>Pauline LAGRANGE </v>
      </c>
      <c r="E199" s="2" t="str">
        <f t="shared" si="31"/>
        <v>LAGRANGE  Pauline</v>
      </c>
      <c r="F199" s="9">
        <v>25</v>
      </c>
      <c r="G199" s="9" t="s">
        <v>83</v>
      </c>
      <c r="H199" s="214">
        <v>227386</v>
      </c>
      <c r="I199" s="4" t="s">
        <v>986</v>
      </c>
      <c r="J199" s="217"/>
      <c r="K199" s="21">
        <v>8603</v>
      </c>
      <c r="L199" s="23">
        <f t="shared" si="32"/>
        <v>93</v>
      </c>
      <c r="M199" s="23">
        <f t="shared" si="29"/>
        <v>118</v>
      </c>
      <c r="N199" s="8" t="str">
        <f ca="1" t="shared" si="33"/>
        <v> </v>
      </c>
      <c r="O199" s="8" t="str">
        <f t="shared" si="28"/>
        <v> </v>
      </c>
      <c r="P199" s="8" t="s">
        <v>1540</v>
      </c>
      <c r="Q199" s="2" t="s">
        <v>833</v>
      </c>
      <c r="R199" s="3">
        <v>1180</v>
      </c>
      <c r="S199" s="2" t="s">
        <v>546</v>
      </c>
      <c r="T199" s="2" t="s">
        <v>544</v>
      </c>
      <c r="U199" s="2"/>
      <c r="V199" s="9">
        <v>25</v>
      </c>
      <c r="W199" s="5">
        <f t="shared" si="34"/>
        <v>0</v>
      </c>
      <c r="X199" s="6">
        <f t="shared" si="35"/>
        <v>0</v>
      </c>
    </row>
    <row r="200" spans="1:24" ht="12">
      <c r="A200" s="2" t="s">
        <v>1092</v>
      </c>
      <c r="B200" s="196" t="s">
        <v>1160</v>
      </c>
      <c r="C200" s="2" t="s">
        <v>1369</v>
      </c>
      <c r="D200" s="2" t="str">
        <f t="shared" si="30"/>
        <v>Jacques LAMBERT </v>
      </c>
      <c r="E200" s="2" t="str">
        <f t="shared" si="31"/>
        <v>LAMBERT  Jacques</v>
      </c>
      <c r="F200" s="9">
        <v>21</v>
      </c>
      <c r="G200" s="9" t="s">
        <v>83</v>
      </c>
      <c r="H200" s="214">
        <v>227387</v>
      </c>
      <c r="I200" s="4" t="s">
        <v>988</v>
      </c>
      <c r="J200" s="217" t="s">
        <v>1540</v>
      </c>
      <c r="K200" s="21">
        <v>13436</v>
      </c>
      <c r="L200" s="23">
        <f t="shared" si="32"/>
        <v>80</v>
      </c>
      <c r="M200" s="23">
        <f t="shared" si="29"/>
        <v>101</v>
      </c>
      <c r="N200" s="8" t="str">
        <f ca="1" t="shared" si="33"/>
        <v> </v>
      </c>
      <c r="O200" s="8" t="str">
        <f t="shared" si="28"/>
        <v> </v>
      </c>
      <c r="P200" s="8" t="s">
        <v>1540</v>
      </c>
      <c r="Q200" s="2" t="s">
        <v>834</v>
      </c>
      <c r="R200" s="3">
        <v>1420</v>
      </c>
      <c r="S200" s="2" t="s">
        <v>535</v>
      </c>
      <c r="T200" s="2" t="s">
        <v>404</v>
      </c>
      <c r="U200" s="2"/>
      <c r="V200" s="9">
        <v>21</v>
      </c>
      <c r="W200" s="5">
        <f t="shared" si="34"/>
        <v>0</v>
      </c>
      <c r="X200" s="6">
        <f t="shared" si="35"/>
        <v>0</v>
      </c>
    </row>
    <row r="201" spans="1:24" ht="12">
      <c r="A201" s="2" t="s">
        <v>1093</v>
      </c>
      <c r="B201" s="196" t="s">
        <v>1348</v>
      </c>
      <c r="C201" s="2" t="s">
        <v>138</v>
      </c>
      <c r="D201" s="2" t="str">
        <f t="shared" si="30"/>
        <v>Inge LAMBERT-HAFELE</v>
      </c>
      <c r="E201" s="2" t="str">
        <f t="shared" si="31"/>
        <v>LAMBERT-HAFELE Inge</v>
      </c>
      <c r="F201" s="9">
        <v>21.2</v>
      </c>
      <c r="G201" s="9" t="s">
        <v>83</v>
      </c>
      <c r="H201" s="214">
        <v>227388</v>
      </c>
      <c r="I201" s="4" t="s">
        <v>987</v>
      </c>
      <c r="J201" s="217" t="s">
        <v>1540</v>
      </c>
      <c r="K201" s="21">
        <v>16411</v>
      </c>
      <c r="L201" s="23">
        <f t="shared" si="32"/>
        <v>72</v>
      </c>
      <c r="M201" s="23">
        <f t="shared" si="29"/>
        <v>93.2</v>
      </c>
      <c r="N201" s="8" t="str">
        <f ca="1" t="shared" si="33"/>
        <v> </v>
      </c>
      <c r="O201" s="8" t="str">
        <f t="shared" si="28"/>
        <v> </v>
      </c>
      <c r="P201" s="8" t="s">
        <v>1540</v>
      </c>
      <c r="Q201" s="2" t="s">
        <v>834</v>
      </c>
      <c r="R201" s="3">
        <v>1420</v>
      </c>
      <c r="S201" s="2" t="s">
        <v>535</v>
      </c>
      <c r="T201" s="2" t="s">
        <v>404</v>
      </c>
      <c r="U201" s="2"/>
      <c r="V201" s="9">
        <v>21.2</v>
      </c>
      <c r="W201" s="5">
        <f t="shared" si="34"/>
        <v>0</v>
      </c>
      <c r="X201" s="6">
        <f t="shared" si="35"/>
        <v>0</v>
      </c>
    </row>
    <row r="202" spans="1:24" ht="12">
      <c r="A202" s="2" t="s">
        <v>1093</v>
      </c>
      <c r="B202" s="196" t="s">
        <v>1349</v>
      </c>
      <c r="C202" s="2" t="s">
        <v>1849</v>
      </c>
      <c r="D202" s="2" t="str">
        <f t="shared" si="30"/>
        <v>Christine LE BAILLY </v>
      </c>
      <c r="E202" s="2" t="str">
        <f t="shared" si="31"/>
        <v>LE BAILLY  Christine</v>
      </c>
      <c r="F202" s="9">
        <v>28.8</v>
      </c>
      <c r="G202" s="9" t="s">
        <v>83</v>
      </c>
      <c r="H202" s="214">
        <v>244268</v>
      </c>
      <c r="I202" s="4" t="s">
        <v>989</v>
      </c>
      <c r="J202" s="217"/>
      <c r="K202" s="21">
        <v>16249</v>
      </c>
      <c r="L202" s="23">
        <f t="shared" si="32"/>
        <v>72</v>
      </c>
      <c r="M202" s="23">
        <f t="shared" si="29"/>
        <v>100.8</v>
      </c>
      <c r="N202" s="8" t="str">
        <f ca="1" t="shared" si="33"/>
        <v> </v>
      </c>
      <c r="O202" s="8" t="str">
        <f t="shared" si="28"/>
        <v> </v>
      </c>
      <c r="P202" s="8"/>
      <c r="Q202" s="2" t="s">
        <v>835</v>
      </c>
      <c r="R202" s="3">
        <v>1640</v>
      </c>
      <c r="S202" s="2" t="s">
        <v>345</v>
      </c>
      <c r="T202" s="2" t="s">
        <v>744</v>
      </c>
      <c r="U202" s="2" t="s">
        <v>745</v>
      </c>
      <c r="V202" s="9">
        <v>28.8</v>
      </c>
      <c r="W202" s="5">
        <f t="shared" si="34"/>
        <v>0</v>
      </c>
      <c r="X202" s="6">
        <f t="shared" si="35"/>
        <v>0</v>
      </c>
    </row>
    <row r="203" spans="1:24" ht="12">
      <c r="A203" s="2" t="s">
        <v>1092</v>
      </c>
      <c r="B203" s="196" t="s">
        <v>1350</v>
      </c>
      <c r="C203" s="2" t="s">
        <v>1370</v>
      </c>
      <c r="D203" s="2" t="str">
        <f t="shared" si="30"/>
        <v>Jean-Claude LEFEVRE</v>
      </c>
      <c r="E203" s="2" t="str">
        <f t="shared" si="31"/>
        <v>LEFEVRE Jean-Claude</v>
      </c>
      <c r="F203" s="9">
        <v>24.399999618530273</v>
      </c>
      <c r="G203" s="9" t="s">
        <v>84</v>
      </c>
      <c r="H203" s="214">
        <v>227411</v>
      </c>
      <c r="I203" s="4" t="s">
        <v>990</v>
      </c>
      <c r="J203" s="217" t="s">
        <v>1540</v>
      </c>
      <c r="K203" s="21">
        <v>19057</v>
      </c>
      <c r="L203" s="23">
        <f t="shared" si="32"/>
        <v>65</v>
      </c>
      <c r="M203" s="23">
        <f t="shared" si="29"/>
        <v>89.39999961853027</v>
      </c>
      <c r="N203" s="8" t="str">
        <f ca="1" t="shared" si="33"/>
        <v> </v>
      </c>
      <c r="O203" s="8" t="str">
        <f t="shared" si="28"/>
        <v> </v>
      </c>
      <c r="P203" s="8" t="s">
        <v>1540</v>
      </c>
      <c r="Q203" s="2" t="s">
        <v>836</v>
      </c>
      <c r="R203" s="3">
        <v>1420</v>
      </c>
      <c r="S203" s="2" t="s">
        <v>535</v>
      </c>
      <c r="T203" s="2" t="s">
        <v>724</v>
      </c>
      <c r="U203" s="2" t="s">
        <v>725</v>
      </c>
      <c r="V203" s="9">
        <v>24.399999618530273</v>
      </c>
      <c r="W203" s="5">
        <f t="shared" si="34"/>
        <v>0</v>
      </c>
      <c r="X203" s="6">
        <f t="shared" si="35"/>
        <v>0</v>
      </c>
    </row>
    <row r="204" spans="1:24" ht="12">
      <c r="A204" s="2" t="s">
        <v>1093</v>
      </c>
      <c r="B204" s="196" t="s">
        <v>1344</v>
      </c>
      <c r="C204" s="2" t="s">
        <v>51</v>
      </c>
      <c r="D204" s="2" t="str">
        <f t="shared" si="30"/>
        <v>Cathy LEMAIGRE</v>
      </c>
      <c r="E204" s="2" t="str">
        <f t="shared" si="31"/>
        <v>LEMAIGRE Cathy</v>
      </c>
      <c r="F204" s="9">
        <v>18.2</v>
      </c>
      <c r="G204" s="9" t="s">
        <v>84</v>
      </c>
      <c r="H204" s="214">
        <v>227330</v>
      </c>
      <c r="I204" s="4" t="s">
        <v>41</v>
      </c>
      <c r="J204" s="217" t="s">
        <v>1540</v>
      </c>
      <c r="K204" s="21">
        <v>17771</v>
      </c>
      <c r="L204" s="23">
        <f t="shared" si="32"/>
        <v>68</v>
      </c>
      <c r="M204" s="23">
        <f aca="true" t="shared" si="36" ref="M204:M235">L204+F204</f>
        <v>86.2</v>
      </c>
      <c r="N204" s="8" t="str">
        <f ca="1" t="shared" si="33"/>
        <v> </v>
      </c>
      <c r="O204" s="8" t="str">
        <f t="shared" si="28"/>
        <v> </v>
      </c>
      <c r="P204" s="8" t="s">
        <v>1540</v>
      </c>
      <c r="Q204" s="2" t="s">
        <v>181</v>
      </c>
      <c r="R204" s="3">
        <v>1420</v>
      </c>
      <c r="S204" s="2" t="s">
        <v>535</v>
      </c>
      <c r="T204" s="2" t="s">
        <v>1109</v>
      </c>
      <c r="U204" s="2" t="s">
        <v>574</v>
      </c>
      <c r="V204" s="9">
        <v>18.2</v>
      </c>
      <c r="W204" s="5">
        <f t="shared" si="34"/>
        <v>0</v>
      </c>
      <c r="X204" s="6">
        <f t="shared" si="35"/>
        <v>0</v>
      </c>
    </row>
    <row r="205" spans="1:25" ht="12">
      <c r="A205" s="2" t="s">
        <v>1092</v>
      </c>
      <c r="B205" s="196" t="s">
        <v>1255</v>
      </c>
      <c r="C205" s="2" t="s">
        <v>96</v>
      </c>
      <c r="D205" s="2" t="str">
        <f t="shared" si="30"/>
        <v>Christian LEMAIGRE </v>
      </c>
      <c r="E205" s="2" t="str">
        <f t="shared" si="31"/>
        <v>LEMAIGRE  Christian</v>
      </c>
      <c r="F205" s="5">
        <v>18.299999237060547</v>
      </c>
      <c r="G205" s="5" t="s">
        <v>83</v>
      </c>
      <c r="H205" s="214">
        <v>227417</v>
      </c>
      <c r="I205" s="4" t="s">
        <v>97</v>
      </c>
      <c r="J205" s="217"/>
      <c r="K205" s="199">
        <v>16905</v>
      </c>
      <c r="L205" s="23">
        <f t="shared" si="32"/>
        <v>71</v>
      </c>
      <c r="M205" s="23">
        <f t="shared" si="36"/>
        <v>89.29999923706055</v>
      </c>
      <c r="N205" s="8" t="str">
        <f ca="1" t="shared" si="33"/>
        <v> </v>
      </c>
      <c r="O205" s="8" t="str">
        <f t="shared" si="28"/>
        <v> </v>
      </c>
      <c r="P205" s="8"/>
      <c r="Q205" s="2" t="s">
        <v>181</v>
      </c>
      <c r="R205" s="3">
        <v>1420</v>
      </c>
      <c r="S205" s="2" t="s">
        <v>535</v>
      </c>
      <c r="T205" s="2" t="s">
        <v>1109</v>
      </c>
      <c r="U205" s="2" t="s">
        <v>98</v>
      </c>
      <c r="V205" s="5">
        <v>18.299999237060547</v>
      </c>
      <c r="W205" s="5">
        <f t="shared" si="34"/>
        <v>0</v>
      </c>
      <c r="X205" s="6">
        <f t="shared" si="35"/>
        <v>0</v>
      </c>
      <c r="Y205" s="177"/>
    </row>
    <row r="206" spans="1:24" ht="12">
      <c r="A206" s="2" t="s">
        <v>1092</v>
      </c>
      <c r="B206" s="196" t="s">
        <v>1150</v>
      </c>
      <c r="C206" s="2" t="s">
        <v>1380</v>
      </c>
      <c r="D206" s="2" t="str">
        <f t="shared" si="30"/>
        <v>Eric LEMAIRE</v>
      </c>
      <c r="E206" s="2" t="str">
        <f t="shared" si="31"/>
        <v>LEMAIRE Eric</v>
      </c>
      <c r="F206" s="9">
        <v>23.6</v>
      </c>
      <c r="G206" s="9" t="s">
        <v>84</v>
      </c>
      <c r="H206" s="214">
        <v>227418</v>
      </c>
      <c r="I206" s="4" t="s">
        <v>991</v>
      </c>
      <c r="J206" s="217" t="s">
        <v>1540</v>
      </c>
      <c r="K206" s="21">
        <v>17419</v>
      </c>
      <c r="L206" s="23">
        <f t="shared" si="32"/>
        <v>69</v>
      </c>
      <c r="M206" s="23">
        <f t="shared" si="36"/>
        <v>92.6</v>
      </c>
      <c r="N206" s="8" t="str">
        <f ca="1" t="shared" si="33"/>
        <v> </v>
      </c>
      <c r="O206" s="8" t="str">
        <f t="shared" si="28"/>
        <v> </v>
      </c>
      <c r="P206" s="8" t="s">
        <v>1540</v>
      </c>
      <c r="Q206" s="2" t="s">
        <v>837</v>
      </c>
      <c r="R206" s="3">
        <v>1630</v>
      </c>
      <c r="S206" s="2" t="s">
        <v>405</v>
      </c>
      <c r="T206" s="2"/>
      <c r="U206" s="2" t="s">
        <v>483</v>
      </c>
      <c r="V206" s="9">
        <v>23.6</v>
      </c>
      <c r="W206" s="5">
        <f t="shared" si="34"/>
        <v>0</v>
      </c>
      <c r="X206" s="6">
        <f t="shared" si="35"/>
        <v>0</v>
      </c>
    </row>
    <row r="207" spans="1:24" ht="12">
      <c r="A207" s="2" t="s">
        <v>1092</v>
      </c>
      <c r="B207" s="196" t="s">
        <v>1342</v>
      </c>
      <c r="C207" s="2" t="s">
        <v>9</v>
      </c>
      <c r="D207" s="2" t="str">
        <f t="shared" si="30"/>
        <v>Philippe LERAT</v>
      </c>
      <c r="E207" s="2" t="str">
        <f t="shared" si="31"/>
        <v>LERAT Philippe</v>
      </c>
      <c r="F207" s="9">
        <v>18.6</v>
      </c>
      <c r="G207" s="9" t="s">
        <v>84</v>
      </c>
      <c r="H207" s="214">
        <v>227423</v>
      </c>
      <c r="I207" s="4" t="s">
        <v>36</v>
      </c>
      <c r="J207" s="217"/>
      <c r="K207" s="21">
        <v>18094</v>
      </c>
      <c r="L207" s="23">
        <f t="shared" si="32"/>
        <v>67</v>
      </c>
      <c r="M207" s="23">
        <f t="shared" si="36"/>
        <v>85.6</v>
      </c>
      <c r="N207" s="8" t="str">
        <f ca="1" t="shared" si="33"/>
        <v> </v>
      </c>
      <c r="O207" s="8" t="str">
        <f t="shared" si="28"/>
        <v> </v>
      </c>
      <c r="P207" s="8" t="s">
        <v>1540</v>
      </c>
      <c r="Q207" s="2" t="s">
        <v>11</v>
      </c>
      <c r="R207" s="3">
        <v>1490</v>
      </c>
      <c r="S207" s="2" t="s">
        <v>12</v>
      </c>
      <c r="T207" s="2"/>
      <c r="U207" s="2" t="s">
        <v>13</v>
      </c>
      <c r="V207" s="9">
        <v>18.6</v>
      </c>
      <c r="W207" s="5">
        <f t="shared" si="34"/>
        <v>0</v>
      </c>
      <c r="X207" s="6">
        <f t="shared" si="35"/>
        <v>0</v>
      </c>
    </row>
    <row r="208" spans="1:24" ht="12">
      <c r="A208" s="2" t="s">
        <v>1093</v>
      </c>
      <c r="B208" s="196" t="s">
        <v>1349</v>
      </c>
      <c r="C208" s="2" t="s">
        <v>1381</v>
      </c>
      <c r="D208" s="2" t="str">
        <f t="shared" si="30"/>
        <v>Christine LETREGUILLY</v>
      </c>
      <c r="E208" s="2" t="str">
        <f t="shared" si="31"/>
        <v>LETREGUILLY Christine</v>
      </c>
      <c r="F208" s="9">
        <v>27.5</v>
      </c>
      <c r="G208" s="9" t="s">
        <v>84</v>
      </c>
      <c r="H208" s="214">
        <v>270204</v>
      </c>
      <c r="I208" s="4" t="s">
        <v>1143</v>
      </c>
      <c r="J208" s="217"/>
      <c r="K208" s="21">
        <v>20567</v>
      </c>
      <c r="L208" s="23">
        <f t="shared" si="32"/>
        <v>61</v>
      </c>
      <c r="M208" s="23">
        <f t="shared" si="36"/>
        <v>88.5</v>
      </c>
      <c r="N208" s="8" t="str">
        <f ca="1" t="shared" si="33"/>
        <v> </v>
      </c>
      <c r="O208" s="8" t="str">
        <f t="shared" si="28"/>
        <v> </v>
      </c>
      <c r="P208" s="8"/>
      <c r="Q208" s="2" t="s">
        <v>862</v>
      </c>
      <c r="R208" s="3">
        <v>1180</v>
      </c>
      <c r="S208" s="2" t="s">
        <v>546</v>
      </c>
      <c r="T208" s="2" t="s">
        <v>863</v>
      </c>
      <c r="U208" s="2" t="s">
        <v>864</v>
      </c>
      <c r="V208" s="9">
        <v>27.5</v>
      </c>
      <c r="W208" s="5">
        <f t="shared" si="34"/>
        <v>0</v>
      </c>
      <c r="X208" s="6">
        <f t="shared" si="35"/>
        <v>0</v>
      </c>
    </row>
    <row r="209" spans="1:24" ht="12">
      <c r="A209" s="2" t="s">
        <v>1093</v>
      </c>
      <c r="B209" s="196" t="s">
        <v>1270</v>
      </c>
      <c r="C209" s="2" t="s">
        <v>1794</v>
      </c>
      <c r="D209" s="2" t="str">
        <f t="shared" si="30"/>
        <v>Viviane LEVI</v>
      </c>
      <c r="E209" s="2" t="str">
        <f t="shared" si="31"/>
        <v>LEVI Viviane</v>
      </c>
      <c r="F209" s="9">
        <v>31.6</v>
      </c>
      <c r="G209" s="9" t="s">
        <v>84</v>
      </c>
      <c r="H209" s="214">
        <v>219887</v>
      </c>
      <c r="I209" s="4" t="s">
        <v>1795</v>
      </c>
      <c r="J209" s="217"/>
      <c r="K209" s="21">
        <v>17761</v>
      </c>
      <c r="L209" s="23">
        <f t="shared" si="32"/>
        <v>68</v>
      </c>
      <c r="M209" s="23">
        <f t="shared" si="36"/>
        <v>99.6</v>
      </c>
      <c r="N209" s="8" t="str">
        <f ca="1" t="shared" si="33"/>
        <v> </v>
      </c>
      <c r="O209" s="8" t="str">
        <f t="shared" si="28"/>
        <v> </v>
      </c>
      <c r="P209" s="8"/>
      <c r="Q209" s="2" t="s">
        <v>1796</v>
      </c>
      <c r="R209" s="3">
        <v>1180</v>
      </c>
      <c r="S209" s="2" t="s">
        <v>546</v>
      </c>
      <c r="T209" s="2" t="s">
        <v>1797</v>
      </c>
      <c r="U209" s="2" t="s">
        <v>1798</v>
      </c>
      <c r="V209" s="9">
        <v>31.6</v>
      </c>
      <c r="W209" s="5">
        <f t="shared" si="34"/>
        <v>0</v>
      </c>
      <c r="X209" s="6">
        <f t="shared" si="35"/>
        <v>0</v>
      </c>
    </row>
    <row r="210" spans="1:24" ht="12">
      <c r="A210" s="2" t="s">
        <v>1092</v>
      </c>
      <c r="B210" s="196" t="s">
        <v>1371</v>
      </c>
      <c r="C210" s="2" t="s">
        <v>1382</v>
      </c>
      <c r="D210" s="2" t="str">
        <f t="shared" si="30"/>
        <v>Didier LINARD de GUERTECHIN</v>
      </c>
      <c r="E210" s="2" t="str">
        <f t="shared" si="31"/>
        <v>LINARD de GUERTECHIN Didier</v>
      </c>
      <c r="F210" s="9">
        <v>28.6</v>
      </c>
      <c r="G210" s="9" t="s">
        <v>84</v>
      </c>
      <c r="H210" s="214">
        <v>227442</v>
      </c>
      <c r="I210" s="4" t="s">
        <v>992</v>
      </c>
      <c r="J210" s="217" t="s">
        <v>1540</v>
      </c>
      <c r="K210" s="21">
        <v>15963</v>
      </c>
      <c r="L210" s="23">
        <f t="shared" si="32"/>
        <v>73</v>
      </c>
      <c r="M210" s="23">
        <f t="shared" si="36"/>
        <v>101.6</v>
      </c>
      <c r="N210" s="8" t="str">
        <f ca="1" t="shared" si="33"/>
        <v> </v>
      </c>
      <c r="O210" s="8" t="str">
        <f t="shared" si="28"/>
        <v> </v>
      </c>
      <c r="P210" s="8" t="s">
        <v>1540</v>
      </c>
      <c r="Q210" s="2" t="s">
        <v>838</v>
      </c>
      <c r="R210" s="3">
        <v>1380</v>
      </c>
      <c r="S210" s="2" t="s">
        <v>351</v>
      </c>
      <c r="T210" s="2" t="s">
        <v>591</v>
      </c>
      <c r="U210" s="2" t="s">
        <v>1998</v>
      </c>
      <c r="V210" s="9">
        <v>28.6</v>
      </c>
      <c r="W210" s="5">
        <f t="shared" si="34"/>
        <v>0</v>
      </c>
      <c r="X210" s="6">
        <f t="shared" si="35"/>
        <v>0</v>
      </c>
    </row>
    <row r="211" spans="1:24" ht="12">
      <c r="A211" s="2" t="s">
        <v>1093</v>
      </c>
      <c r="B211" s="196" t="s">
        <v>1303</v>
      </c>
      <c r="C211" s="2" t="s">
        <v>1382</v>
      </c>
      <c r="D211" s="2" t="str">
        <f t="shared" si="30"/>
        <v>Nicole LINARD de GUERTECHIN</v>
      </c>
      <c r="E211" s="2" t="str">
        <f t="shared" si="31"/>
        <v>LINARD de GUERTECHIN Nicole</v>
      </c>
      <c r="F211" s="9">
        <v>27.3</v>
      </c>
      <c r="G211" s="9" t="s">
        <v>84</v>
      </c>
      <c r="H211" s="214">
        <v>227443</v>
      </c>
      <c r="I211" s="4" t="s">
        <v>993</v>
      </c>
      <c r="J211" s="217" t="s">
        <v>1540</v>
      </c>
      <c r="K211" s="21">
        <v>17393</v>
      </c>
      <c r="L211" s="23">
        <f t="shared" si="32"/>
        <v>69</v>
      </c>
      <c r="M211" s="23">
        <f t="shared" si="36"/>
        <v>96.3</v>
      </c>
      <c r="N211" s="8" t="str">
        <f ca="1" t="shared" si="33"/>
        <v> </v>
      </c>
      <c r="O211" s="8" t="str">
        <f t="shared" si="28"/>
        <v> </v>
      </c>
      <c r="P211" s="8"/>
      <c r="Q211" s="2" t="s">
        <v>838</v>
      </c>
      <c r="R211" s="3">
        <v>1380</v>
      </c>
      <c r="S211" s="2" t="s">
        <v>351</v>
      </c>
      <c r="T211" s="2" t="s">
        <v>591</v>
      </c>
      <c r="U211" s="2" t="s">
        <v>0</v>
      </c>
      <c r="V211" s="9">
        <v>27.3</v>
      </c>
      <c r="W211" s="5">
        <f t="shared" si="34"/>
        <v>0</v>
      </c>
      <c r="X211" s="6">
        <f t="shared" si="35"/>
        <v>0</v>
      </c>
    </row>
    <row r="212" spans="1:24" ht="12">
      <c r="A212" s="2" t="s">
        <v>1093</v>
      </c>
      <c r="B212" s="196" t="s">
        <v>1199</v>
      </c>
      <c r="C212" s="2" t="s">
        <v>1383</v>
      </c>
      <c r="D212" s="2" t="str">
        <f t="shared" si="30"/>
        <v>Christiane LINET </v>
      </c>
      <c r="E212" s="2" t="str">
        <f t="shared" si="31"/>
        <v>LINET  Christiane</v>
      </c>
      <c r="F212" s="9">
        <v>29.299999237060547</v>
      </c>
      <c r="G212" s="9" t="s">
        <v>83</v>
      </c>
      <c r="H212" s="214">
        <v>227444</v>
      </c>
      <c r="I212" s="4" t="s">
        <v>994</v>
      </c>
      <c r="J212" s="217"/>
      <c r="K212" s="21">
        <v>14364</v>
      </c>
      <c r="L212" s="23">
        <f t="shared" si="32"/>
        <v>78</v>
      </c>
      <c r="M212" s="23">
        <f t="shared" si="36"/>
        <v>107.29999923706055</v>
      </c>
      <c r="N212" s="8" t="str">
        <f ca="1" t="shared" si="33"/>
        <v> </v>
      </c>
      <c r="O212" s="8" t="str">
        <f t="shared" si="28"/>
        <v> </v>
      </c>
      <c r="P212" s="8"/>
      <c r="Q212" s="2" t="s">
        <v>839</v>
      </c>
      <c r="R212" s="3">
        <v>1180</v>
      </c>
      <c r="S212" s="2" t="s">
        <v>546</v>
      </c>
      <c r="T212" s="2" t="s">
        <v>592</v>
      </c>
      <c r="U212" s="2"/>
      <c r="V212" s="9">
        <v>29.299999237060547</v>
      </c>
      <c r="W212" s="5">
        <f t="shared" si="34"/>
        <v>0</v>
      </c>
      <c r="X212" s="6">
        <f t="shared" si="35"/>
        <v>0</v>
      </c>
    </row>
    <row r="213" spans="1:24" ht="12">
      <c r="A213" s="2" t="s">
        <v>1093</v>
      </c>
      <c r="B213" s="196" t="s">
        <v>1201</v>
      </c>
      <c r="C213" s="2" t="s">
        <v>1384</v>
      </c>
      <c r="D213" s="2" t="str">
        <f t="shared" si="30"/>
        <v>Thérèse LONFILS </v>
      </c>
      <c r="E213" s="2" t="str">
        <f t="shared" si="31"/>
        <v>LONFILS  Thérèse</v>
      </c>
      <c r="F213" s="9">
        <v>30.2</v>
      </c>
      <c r="G213" s="9" t="s">
        <v>84</v>
      </c>
      <c r="H213" s="214">
        <v>227451</v>
      </c>
      <c r="I213" s="4" t="s">
        <v>995</v>
      </c>
      <c r="J213" s="217"/>
      <c r="K213" s="21">
        <v>17239</v>
      </c>
      <c r="L213" s="23">
        <f t="shared" si="32"/>
        <v>70</v>
      </c>
      <c r="M213" s="23">
        <f t="shared" si="36"/>
        <v>100.2</v>
      </c>
      <c r="N213" s="8" t="str">
        <f ca="1" t="shared" si="33"/>
        <v> </v>
      </c>
      <c r="O213" s="8" t="str">
        <f t="shared" si="28"/>
        <v> </v>
      </c>
      <c r="P213" s="8" t="s">
        <v>1540</v>
      </c>
      <c r="Q213" s="2" t="s">
        <v>840</v>
      </c>
      <c r="R213" s="3">
        <v>1410</v>
      </c>
      <c r="S213" s="2" t="s">
        <v>534</v>
      </c>
      <c r="T213" s="2" t="s">
        <v>593</v>
      </c>
      <c r="U213" s="2" t="s">
        <v>414</v>
      </c>
      <c r="V213" s="9">
        <v>30.2</v>
      </c>
      <c r="W213" s="5">
        <f t="shared" si="34"/>
        <v>0</v>
      </c>
      <c r="X213" s="6">
        <f t="shared" si="35"/>
        <v>0</v>
      </c>
    </row>
    <row r="214" spans="1:24" ht="12">
      <c r="A214" s="2" t="s">
        <v>1093</v>
      </c>
      <c r="B214" s="196" t="s">
        <v>1313</v>
      </c>
      <c r="C214" s="2" t="s">
        <v>1385</v>
      </c>
      <c r="D214" s="2" t="str">
        <f t="shared" si="30"/>
        <v>Geneviève LOUVEAUX </v>
      </c>
      <c r="E214" s="2" t="str">
        <f t="shared" si="31"/>
        <v>LOUVEAUX  Geneviève</v>
      </c>
      <c r="F214" s="9">
        <v>14.7</v>
      </c>
      <c r="G214" s="9" t="s">
        <v>84</v>
      </c>
      <c r="H214" s="214">
        <v>179665</v>
      </c>
      <c r="I214" s="4" t="s">
        <v>996</v>
      </c>
      <c r="J214" s="217"/>
      <c r="K214" s="21">
        <v>19742</v>
      </c>
      <c r="L214" s="23">
        <f t="shared" si="32"/>
        <v>63</v>
      </c>
      <c r="M214" s="23">
        <f t="shared" si="36"/>
        <v>77.7</v>
      </c>
      <c r="N214" s="8" t="str">
        <f ca="1" t="shared" si="33"/>
        <v> </v>
      </c>
      <c r="O214" s="8" t="str">
        <f t="shared" si="28"/>
        <v> </v>
      </c>
      <c r="P214" s="8"/>
      <c r="Q214" s="2" t="s">
        <v>841</v>
      </c>
      <c r="R214" s="3">
        <v>1180</v>
      </c>
      <c r="S214" s="2" t="s">
        <v>546</v>
      </c>
      <c r="T214" s="2" t="s">
        <v>458</v>
      </c>
      <c r="U214" s="2" t="s">
        <v>459</v>
      </c>
      <c r="V214" s="9">
        <v>14.7</v>
      </c>
      <c r="W214" s="5">
        <f t="shared" si="34"/>
        <v>0</v>
      </c>
      <c r="X214" s="6">
        <f t="shared" si="35"/>
        <v>0</v>
      </c>
    </row>
    <row r="215" spans="1:24" ht="12">
      <c r="A215" s="2" t="s">
        <v>1092</v>
      </c>
      <c r="B215" s="196" t="s">
        <v>1277</v>
      </c>
      <c r="C215" s="2" t="s">
        <v>1385</v>
      </c>
      <c r="D215" s="2" t="str">
        <f t="shared" si="30"/>
        <v>Kenneth LOUVEAUX </v>
      </c>
      <c r="E215" s="2" t="str">
        <f t="shared" si="31"/>
        <v>LOUVEAUX  Kenneth</v>
      </c>
      <c r="F215" s="9">
        <v>20</v>
      </c>
      <c r="G215" s="9" t="s">
        <v>84</v>
      </c>
      <c r="H215" s="214">
        <v>212902</v>
      </c>
      <c r="I215" s="4" t="s">
        <v>997</v>
      </c>
      <c r="J215" s="217" t="s">
        <v>1540</v>
      </c>
      <c r="K215" s="21">
        <v>17046</v>
      </c>
      <c r="L215" s="23">
        <f t="shared" si="32"/>
        <v>70</v>
      </c>
      <c r="M215" s="23">
        <f t="shared" si="36"/>
        <v>90</v>
      </c>
      <c r="N215" s="8" t="str">
        <f ca="1" t="shared" si="33"/>
        <v> </v>
      </c>
      <c r="O215" s="8" t="str">
        <f t="shared" si="28"/>
        <v> </v>
      </c>
      <c r="P215" s="8" t="s">
        <v>1540</v>
      </c>
      <c r="Q215" s="2" t="s">
        <v>842</v>
      </c>
      <c r="R215" s="3">
        <v>1640</v>
      </c>
      <c r="S215" s="2" t="s">
        <v>345</v>
      </c>
      <c r="T215" s="2" t="s">
        <v>590</v>
      </c>
      <c r="U215" s="2" t="s">
        <v>406</v>
      </c>
      <c r="V215" s="9">
        <v>20</v>
      </c>
      <c r="W215" s="5">
        <f t="shared" si="34"/>
        <v>0</v>
      </c>
      <c r="X215" s="6">
        <f t="shared" si="35"/>
        <v>0</v>
      </c>
    </row>
    <row r="216" spans="1:24" ht="12">
      <c r="A216" s="2" t="s">
        <v>1093</v>
      </c>
      <c r="B216" s="196" t="s">
        <v>1372</v>
      </c>
      <c r="C216" s="2" t="s">
        <v>1386</v>
      </c>
      <c r="D216" s="2" t="str">
        <f t="shared" si="30"/>
        <v>Jeanine LUTZ </v>
      </c>
      <c r="E216" s="2" t="str">
        <f t="shared" si="31"/>
        <v>LUTZ  Jeanine</v>
      </c>
      <c r="F216" s="9">
        <v>30.3</v>
      </c>
      <c r="G216" s="9" t="s">
        <v>84</v>
      </c>
      <c r="H216" s="214">
        <v>706486</v>
      </c>
      <c r="I216" s="4" t="s">
        <v>998</v>
      </c>
      <c r="J216" s="217" t="s">
        <v>1540</v>
      </c>
      <c r="K216" s="21">
        <v>20036</v>
      </c>
      <c r="L216" s="23">
        <f t="shared" si="32"/>
        <v>62</v>
      </c>
      <c r="M216" s="23">
        <f t="shared" si="36"/>
        <v>92.3</v>
      </c>
      <c r="N216" s="8" t="str">
        <f ca="1" t="shared" si="33"/>
        <v> </v>
      </c>
      <c r="O216" s="8" t="str">
        <f t="shared" si="28"/>
        <v>y</v>
      </c>
      <c r="P216" s="8" t="s">
        <v>1540</v>
      </c>
      <c r="Q216" s="2" t="s">
        <v>843</v>
      </c>
      <c r="R216" s="3">
        <v>1420</v>
      </c>
      <c r="S216" s="2" t="s">
        <v>535</v>
      </c>
      <c r="T216" s="2" t="s">
        <v>785</v>
      </c>
      <c r="U216" s="2" t="s">
        <v>786</v>
      </c>
      <c r="V216" s="9">
        <v>30.3</v>
      </c>
      <c r="W216" s="5">
        <f t="shared" si="34"/>
        <v>0</v>
      </c>
      <c r="X216" s="6">
        <f t="shared" si="35"/>
        <v>0</v>
      </c>
    </row>
    <row r="217" spans="1:24" ht="12">
      <c r="A217" s="2" t="s">
        <v>1092</v>
      </c>
      <c r="B217" s="196" t="s">
        <v>1267</v>
      </c>
      <c r="C217" s="2" t="s">
        <v>1387</v>
      </c>
      <c r="D217" s="2" t="str">
        <f t="shared" si="30"/>
        <v>Jean-Pierre MACKEN </v>
      </c>
      <c r="E217" s="2" t="str">
        <f t="shared" si="31"/>
        <v>MACKEN  Jean-Pierre</v>
      </c>
      <c r="F217" s="9">
        <v>13</v>
      </c>
      <c r="G217" s="9" t="s">
        <v>84</v>
      </c>
      <c r="H217" s="214">
        <v>206305</v>
      </c>
      <c r="I217" s="4" t="s">
        <v>999</v>
      </c>
      <c r="J217" s="217" t="s">
        <v>1540</v>
      </c>
      <c r="K217" s="21">
        <v>18102</v>
      </c>
      <c r="L217" s="23">
        <f t="shared" si="32"/>
        <v>67</v>
      </c>
      <c r="M217" s="23">
        <f t="shared" si="36"/>
        <v>80</v>
      </c>
      <c r="N217" s="8" t="str">
        <f ca="1" t="shared" si="33"/>
        <v> </v>
      </c>
      <c r="O217" s="8" t="str">
        <f t="shared" si="28"/>
        <v> </v>
      </c>
      <c r="P217" s="8" t="s">
        <v>1540</v>
      </c>
      <c r="Q217" s="2" t="s">
        <v>844</v>
      </c>
      <c r="R217" s="3">
        <v>1700</v>
      </c>
      <c r="S217" s="2" t="s">
        <v>549</v>
      </c>
      <c r="T217" s="2"/>
      <c r="U217" s="2" t="s">
        <v>747</v>
      </c>
      <c r="V217" s="9">
        <v>13</v>
      </c>
      <c r="W217" s="5">
        <f t="shared" si="34"/>
        <v>0</v>
      </c>
      <c r="X217" s="6">
        <f t="shared" si="35"/>
        <v>0</v>
      </c>
    </row>
    <row r="218" spans="1:24" ht="12">
      <c r="A218" s="2" t="s">
        <v>1092</v>
      </c>
      <c r="B218" s="196" t="s">
        <v>1146</v>
      </c>
      <c r="C218" s="2" t="s">
        <v>112</v>
      </c>
      <c r="D218" s="2" t="str">
        <f t="shared" si="30"/>
        <v>Michel MAELSCHAERT</v>
      </c>
      <c r="E218" s="2" t="str">
        <f t="shared" si="31"/>
        <v>MAELSCHAERT Michel</v>
      </c>
      <c r="F218" s="9">
        <v>25.4</v>
      </c>
      <c r="G218" s="9"/>
      <c r="H218" s="214">
        <v>369050</v>
      </c>
      <c r="I218" s="4" t="s">
        <v>122</v>
      </c>
      <c r="J218" s="217" t="s">
        <v>1540</v>
      </c>
      <c r="K218" s="21">
        <v>16470</v>
      </c>
      <c r="L218" s="23">
        <f t="shared" si="32"/>
        <v>72</v>
      </c>
      <c r="M218" s="23">
        <f t="shared" si="36"/>
        <v>97.4</v>
      </c>
      <c r="N218" s="8" t="str">
        <f ca="1" t="shared" si="33"/>
        <v> </v>
      </c>
      <c r="O218" s="8" t="str">
        <f t="shared" si="28"/>
        <v> </v>
      </c>
      <c r="P218" s="8"/>
      <c r="Q218" s="2" t="s">
        <v>123</v>
      </c>
      <c r="R218" s="3"/>
      <c r="S218" s="2"/>
      <c r="T218" s="2" t="s">
        <v>124</v>
      </c>
      <c r="U218" s="2" t="s">
        <v>125</v>
      </c>
      <c r="V218" s="9">
        <v>25.4</v>
      </c>
      <c r="W218" s="5">
        <f t="shared" si="34"/>
        <v>0</v>
      </c>
      <c r="X218" s="6">
        <f t="shared" si="35"/>
        <v>0</v>
      </c>
    </row>
    <row r="219" spans="1:25" s="211" customFormat="1" ht="12">
      <c r="A219" s="201" t="s">
        <v>1092</v>
      </c>
      <c r="B219" s="202" t="s">
        <v>1264</v>
      </c>
      <c r="C219" s="201" t="s">
        <v>1388</v>
      </c>
      <c r="D219" s="201" t="str">
        <f t="shared" si="30"/>
        <v>Louis MAERTENS de NOORDHOUT </v>
      </c>
      <c r="E219" s="201" t="str">
        <f t="shared" si="31"/>
        <v>MAERTENS de NOORDHOUT  Louis</v>
      </c>
      <c r="F219" s="203">
        <v>22.8</v>
      </c>
      <c r="G219" s="203" t="s">
        <v>84</v>
      </c>
      <c r="H219" s="215">
        <v>227462</v>
      </c>
      <c r="I219" s="219" t="s">
        <v>1000</v>
      </c>
      <c r="J219" s="217" t="s">
        <v>1540</v>
      </c>
      <c r="K219" s="204">
        <v>12539</v>
      </c>
      <c r="L219" s="205">
        <f t="shared" si="32"/>
        <v>83</v>
      </c>
      <c r="M219" s="205">
        <f t="shared" si="36"/>
        <v>105.8</v>
      </c>
      <c r="N219" s="206" t="str">
        <f ca="1" t="shared" si="33"/>
        <v> </v>
      </c>
      <c r="O219" s="206" t="str">
        <f t="shared" si="28"/>
        <v> </v>
      </c>
      <c r="P219" s="206" t="s">
        <v>1540</v>
      </c>
      <c r="Q219" s="201" t="s">
        <v>845</v>
      </c>
      <c r="R219" s="207">
        <v>1170</v>
      </c>
      <c r="S219" s="201" t="s">
        <v>546</v>
      </c>
      <c r="T219" s="201" t="s">
        <v>497</v>
      </c>
      <c r="U219" s="201" t="s">
        <v>184</v>
      </c>
      <c r="V219" s="203">
        <v>22.8</v>
      </c>
      <c r="W219" s="208">
        <f t="shared" si="34"/>
        <v>0</v>
      </c>
      <c r="X219" s="209">
        <f t="shared" si="35"/>
        <v>0</v>
      </c>
      <c r="Y219" s="210"/>
    </row>
    <row r="220" spans="1:24" ht="12">
      <c r="A220" s="2" t="s">
        <v>1093</v>
      </c>
      <c r="B220" s="196" t="s">
        <v>1199</v>
      </c>
      <c r="C220" s="2" t="s">
        <v>158</v>
      </c>
      <c r="D220" s="2" t="str">
        <f t="shared" si="30"/>
        <v>Christiane MAINJOT-PERSOONS</v>
      </c>
      <c r="E220" s="2" t="str">
        <f t="shared" si="31"/>
        <v>MAINJOT-PERSOONS Christiane</v>
      </c>
      <c r="F220" s="9">
        <v>18.1</v>
      </c>
      <c r="G220" s="9" t="s">
        <v>84</v>
      </c>
      <c r="H220" s="214">
        <v>227608</v>
      </c>
      <c r="I220" s="4" t="s">
        <v>1020</v>
      </c>
      <c r="J220" s="217" t="s">
        <v>1540</v>
      </c>
      <c r="K220" s="21">
        <v>13879</v>
      </c>
      <c r="L220" s="23">
        <f t="shared" si="32"/>
        <v>79</v>
      </c>
      <c r="M220" s="23">
        <f t="shared" si="36"/>
        <v>97.1</v>
      </c>
      <c r="N220" s="8" t="str">
        <f ca="1" t="shared" si="33"/>
        <v> </v>
      </c>
      <c r="O220" s="8" t="str">
        <f aca="true" t="shared" si="37" ref="O220:O283">IF((IF(DAY(K220)=DAY(dc),1,0)+IF(MONTH(K220)=MONTH(dc),1,0))=2,"y"," ")</f>
        <v> </v>
      </c>
      <c r="P220" s="8" t="s">
        <v>1540</v>
      </c>
      <c r="Q220" s="2" t="s">
        <v>248</v>
      </c>
      <c r="R220" s="3">
        <v>1180</v>
      </c>
      <c r="S220" s="2" t="s">
        <v>546</v>
      </c>
      <c r="T220" s="2" t="s">
        <v>559</v>
      </c>
      <c r="U220" s="2"/>
      <c r="V220" s="9">
        <v>18.1</v>
      </c>
      <c r="W220" s="5">
        <f t="shared" si="34"/>
        <v>0</v>
      </c>
      <c r="X220" s="6">
        <f t="shared" si="35"/>
        <v>0</v>
      </c>
    </row>
    <row r="221" spans="1:24" ht="12">
      <c r="A221" s="2" t="s">
        <v>1092</v>
      </c>
      <c r="B221" s="196" t="s">
        <v>1267</v>
      </c>
      <c r="C221" s="2" t="s">
        <v>1389</v>
      </c>
      <c r="D221" s="2" t="str">
        <f t="shared" si="30"/>
        <v>Jean-Pierre MALHERBE </v>
      </c>
      <c r="E221" s="2" t="str">
        <f t="shared" si="31"/>
        <v>MALHERBE  Jean-Pierre</v>
      </c>
      <c r="F221" s="9">
        <v>36</v>
      </c>
      <c r="G221" s="9" t="s">
        <v>84</v>
      </c>
      <c r="H221" s="214">
        <v>258756</v>
      </c>
      <c r="I221" s="4" t="s">
        <v>1001</v>
      </c>
      <c r="J221" s="217" t="s">
        <v>1540</v>
      </c>
      <c r="K221" s="21">
        <v>17281</v>
      </c>
      <c r="L221" s="23">
        <f t="shared" si="32"/>
        <v>70</v>
      </c>
      <c r="M221" s="23">
        <f t="shared" si="36"/>
        <v>106</v>
      </c>
      <c r="N221" s="8" t="str">
        <f ca="1" t="shared" si="33"/>
        <v> </v>
      </c>
      <c r="O221" s="8" t="str">
        <f t="shared" si="37"/>
        <v> </v>
      </c>
      <c r="P221" s="8" t="s">
        <v>1540</v>
      </c>
      <c r="Q221" s="2" t="s">
        <v>846</v>
      </c>
      <c r="R221" s="3">
        <v>1640</v>
      </c>
      <c r="S221" s="2" t="s">
        <v>345</v>
      </c>
      <c r="T221" s="2" t="s">
        <v>631</v>
      </c>
      <c r="U221" s="2" t="s">
        <v>632</v>
      </c>
      <c r="V221" s="9">
        <v>36</v>
      </c>
      <c r="W221" s="5">
        <f t="shared" si="34"/>
        <v>0</v>
      </c>
      <c r="X221" s="6">
        <f t="shared" si="35"/>
        <v>0</v>
      </c>
    </row>
    <row r="222" spans="1:24" ht="12">
      <c r="A222" s="2" t="s">
        <v>1092</v>
      </c>
      <c r="B222" s="196" t="s">
        <v>1301</v>
      </c>
      <c r="C222" s="2" t="s">
        <v>1390</v>
      </c>
      <c r="D222" s="2" t="str">
        <f t="shared" si="30"/>
        <v>André MANCAUX</v>
      </c>
      <c r="E222" s="2" t="str">
        <f t="shared" si="31"/>
        <v>MANCAUX André</v>
      </c>
      <c r="F222" s="9">
        <v>26.5</v>
      </c>
      <c r="G222" s="9" t="s">
        <v>84</v>
      </c>
      <c r="H222" s="214">
        <v>258758</v>
      </c>
      <c r="I222" s="4" t="s">
        <v>1002</v>
      </c>
      <c r="J222" s="217"/>
      <c r="K222" s="21">
        <v>13248</v>
      </c>
      <c r="L222" s="23">
        <f t="shared" si="32"/>
        <v>81</v>
      </c>
      <c r="M222" s="23">
        <f t="shared" si="36"/>
        <v>107.5</v>
      </c>
      <c r="N222" s="8" t="str">
        <f ca="1" t="shared" si="33"/>
        <v> </v>
      </c>
      <c r="O222" s="8" t="str">
        <f t="shared" si="37"/>
        <v> </v>
      </c>
      <c r="P222" s="8" t="s">
        <v>1540</v>
      </c>
      <c r="Q222" s="2" t="s">
        <v>250</v>
      </c>
      <c r="R222" s="3">
        <v>1410</v>
      </c>
      <c r="S222" s="2" t="s">
        <v>534</v>
      </c>
      <c r="T222" s="2" t="s">
        <v>594</v>
      </c>
      <c r="U222" s="2"/>
      <c r="V222" s="9">
        <v>26.5</v>
      </c>
      <c r="W222" s="5">
        <f t="shared" si="34"/>
        <v>0</v>
      </c>
      <c r="X222" s="6">
        <f t="shared" si="35"/>
        <v>0</v>
      </c>
    </row>
    <row r="223" spans="1:24" ht="12">
      <c r="A223" s="2" t="s">
        <v>1093</v>
      </c>
      <c r="B223" s="196" t="s">
        <v>1230</v>
      </c>
      <c r="C223" s="2" t="s">
        <v>1391</v>
      </c>
      <c r="D223" s="2" t="str">
        <f t="shared" si="30"/>
        <v>Jacqueline MANCAUX </v>
      </c>
      <c r="E223" s="2" t="str">
        <f t="shared" si="31"/>
        <v>MANCAUX  Jacqueline</v>
      </c>
      <c r="F223" s="9">
        <v>20.9</v>
      </c>
      <c r="G223" s="9" t="s">
        <v>84</v>
      </c>
      <c r="H223" s="214">
        <v>227477</v>
      </c>
      <c r="I223" s="4" t="s">
        <v>1002</v>
      </c>
      <c r="J223" s="217"/>
      <c r="K223" s="21">
        <v>14479</v>
      </c>
      <c r="L223" s="23">
        <f t="shared" si="32"/>
        <v>77</v>
      </c>
      <c r="M223" s="23">
        <f t="shared" si="36"/>
        <v>97.9</v>
      </c>
      <c r="N223" s="8" t="str">
        <f ca="1" t="shared" si="33"/>
        <v> </v>
      </c>
      <c r="O223" s="8" t="str">
        <f t="shared" si="37"/>
        <v> </v>
      </c>
      <c r="P223" s="8" t="s">
        <v>1540</v>
      </c>
      <c r="Q223" s="2" t="s">
        <v>250</v>
      </c>
      <c r="R223" s="3">
        <v>1410</v>
      </c>
      <c r="S223" s="2" t="s">
        <v>534</v>
      </c>
      <c r="T223" s="2" t="s">
        <v>594</v>
      </c>
      <c r="U223" s="2" t="s">
        <v>595</v>
      </c>
      <c r="V223" s="9">
        <v>20.9</v>
      </c>
      <c r="W223" s="5">
        <f t="shared" si="34"/>
        <v>0</v>
      </c>
      <c r="X223" s="6">
        <f t="shared" si="35"/>
        <v>0</v>
      </c>
    </row>
    <row r="224" spans="1:25" s="211" customFormat="1" ht="12">
      <c r="A224" s="201" t="s">
        <v>1092</v>
      </c>
      <c r="B224" s="202" t="s">
        <v>132</v>
      </c>
      <c r="C224" s="201" t="s">
        <v>133</v>
      </c>
      <c r="D224" s="201" t="str">
        <f t="shared" si="30"/>
        <v>Jean-Louis MARCHAND</v>
      </c>
      <c r="E224" s="201" t="str">
        <f t="shared" si="31"/>
        <v>MARCHAND Jean-Louis</v>
      </c>
      <c r="F224" s="203">
        <v>17.6</v>
      </c>
      <c r="G224" s="203"/>
      <c r="H224" s="215">
        <v>254707</v>
      </c>
      <c r="I224" s="4" t="s">
        <v>168</v>
      </c>
      <c r="J224" s="217" t="s">
        <v>1540</v>
      </c>
      <c r="K224" s="204">
        <v>20484</v>
      </c>
      <c r="L224" s="205">
        <f t="shared" si="32"/>
        <v>61</v>
      </c>
      <c r="M224" s="205">
        <f t="shared" si="36"/>
        <v>78.6</v>
      </c>
      <c r="N224" s="206" t="str">
        <f ca="1" t="shared" si="33"/>
        <v> </v>
      </c>
      <c r="O224" s="206" t="str">
        <f t="shared" si="37"/>
        <v> </v>
      </c>
      <c r="P224" s="206"/>
      <c r="Q224" s="201" t="s">
        <v>173</v>
      </c>
      <c r="R224" s="207">
        <v>1190</v>
      </c>
      <c r="S224" s="201" t="s">
        <v>166</v>
      </c>
      <c r="T224" s="201" t="s">
        <v>167</v>
      </c>
      <c r="U224" s="201" t="s">
        <v>174</v>
      </c>
      <c r="V224" s="203">
        <v>17.6</v>
      </c>
      <c r="W224" s="208">
        <f t="shared" si="34"/>
        <v>0</v>
      </c>
      <c r="X224" s="209">
        <f t="shared" si="35"/>
        <v>0</v>
      </c>
      <c r="Y224" s="210"/>
    </row>
    <row r="225" spans="1:24" ht="12">
      <c r="A225" s="2" t="s">
        <v>1093</v>
      </c>
      <c r="B225" s="196" t="s">
        <v>1222</v>
      </c>
      <c r="C225" s="2" t="s">
        <v>1392</v>
      </c>
      <c r="D225" s="2" t="str">
        <f t="shared" si="30"/>
        <v>Anne MARQUET</v>
      </c>
      <c r="E225" s="2" t="str">
        <f t="shared" si="31"/>
        <v>MARQUET Anne</v>
      </c>
      <c r="F225" s="9">
        <v>31.7</v>
      </c>
      <c r="G225" s="9" t="s">
        <v>84</v>
      </c>
      <c r="H225" s="214">
        <v>227482</v>
      </c>
      <c r="I225" s="4" t="s">
        <v>1003</v>
      </c>
      <c r="J225" s="217" t="s">
        <v>1540</v>
      </c>
      <c r="K225" s="21">
        <v>20416</v>
      </c>
      <c r="L225" s="23">
        <f t="shared" si="32"/>
        <v>61</v>
      </c>
      <c r="M225" s="23">
        <f t="shared" si="36"/>
        <v>92.7</v>
      </c>
      <c r="N225" s="8" t="str">
        <f ca="1" t="shared" si="33"/>
        <v> </v>
      </c>
      <c r="O225" s="8" t="str">
        <f t="shared" si="37"/>
        <v> </v>
      </c>
      <c r="P225" s="8" t="s">
        <v>1540</v>
      </c>
      <c r="Q225" s="2" t="s">
        <v>847</v>
      </c>
      <c r="R225" s="3">
        <v>1440</v>
      </c>
      <c r="S225" s="2" t="s">
        <v>589</v>
      </c>
      <c r="T225" s="2"/>
      <c r="U225" s="2" t="s">
        <v>330</v>
      </c>
      <c r="V225" s="9">
        <v>31.7</v>
      </c>
      <c r="W225" s="5">
        <f t="shared" si="34"/>
        <v>0</v>
      </c>
      <c r="X225" s="6">
        <f t="shared" si="35"/>
        <v>0</v>
      </c>
    </row>
    <row r="226" spans="1:24" ht="12">
      <c r="A226" s="2" t="s">
        <v>1093</v>
      </c>
      <c r="B226" s="196" t="s">
        <v>1226</v>
      </c>
      <c r="C226" s="2" t="s">
        <v>1825</v>
      </c>
      <c r="D226" s="2" t="str">
        <f t="shared" si="30"/>
        <v>Françoise MAYNé</v>
      </c>
      <c r="E226" s="2" t="str">
        <f t="shared" si="31"/>
        <v>MAYNé Françoise</v>
      </c>
      <c r="F226" s="9">
        <v>18</v>
      </c>
      <c r="G226" s="9" t="s">
        <v>84</v>
      </c>
      <c r="H226" s="214">
        <v>227487</v>
      </c>
      <c r="I226" s="4" t="s">
        <v>1004</v>
      </c>
      <c r="J226" s="217" t="s">
        <v>1540</v>
      </c>
      <c r="K226" s="21">
        <v>16180</v>
      </c>
      <c r="L226" s="23">
        <f t="shared" si="32"/>
        <v>73</v>
      </c>
      <c r="M226" s="23">
        <f t="shared" si="36"/>
        <v>91</v>
      </c>
      <c r="N226" s="8" t="str">
        <f ca="1" t="shared" si="33"/>
        <v> </v>
      </c>
      <c r="O226" s="8" t="str">
        <f t="shared" si="37"/>
        <v> </v>
      </c>
      <c r="P226" s="8" t="s">
        <v>1540</v>
      </c>
      <c r="Q226" s="2" t="s">
        <v>848</v>
      </c>
      <c r="R226" s="3">
        <v>1190</v>
      </c>
      <c r="S226" s="2" t="s">
        <v>546</v>
      </c>
      <c r="T226" s="2"/>
      <c r="U226" s="2" t="s">
        <v>596</v>
      </c>
      <c r="V226" s="9">
        <v>18</v>
      </c>
      <c r="W226" s="5">
        <f t="shared" si="34"/>
        <v>0</v>
      </c>
      <c r="X226" s="6">
        <f t="shared" si="35"/>
        <v>0</v>
      </c>
    </row>
    <row r="227" spans="1:24" ht="12">
      <c r="A227" s="2" t="s">
        <v>1092</v>
      </c>
      <c r="B227" s="196" t="s">
        <v>1373</v>
      </c>
      <c r="C227" s="2" t="s">
        <v>1393</v>
      </c>
      <c r="D227" s="2" t="str">
        <f t="shared" si="30"/>
        <v>Georges MEERT</v>
      </c>
      <c r="E227" s="2" t="str">
        <f t="shared" si="31"/>
        <v>MEERT Georges</v>
      </c>
      <c r="F227" s="9">
        <v>32</v>
      </c>
      <c r="G227" s="9" t="s">
        <v>84</v>
      </c>
      <c r="H227" s="214">
        <v>391917</v>
      </c>
      <c r="I227" s="4" t="s">
        <v>1135</v>
      </c>
      <c r="J227" s="217" t="s">
        <v>1540</v>
      </c>
      <c r="K227" s="21">
        <v>19010</v>
      </c>
      <c r="L227" s="23">
        <f t="shared" si="32"/>
        <v>65</v>
      </c>
      <c r="M227" s="23">
        <f t="shared" si="36"/>
        <v>97</v>
      </c>
      <c r="N227" s="8" t="str">
        <f ca="1" t="shared" si="33"/>
        <v> </v>
      </c>
      <c r="O227" s="8" t="str">
        <f t="shared" si="37"/>
        <v> </v>
      </c>
      <c r="P227" s="8" t="s">
        <v>1540</v>
      </c>
      <c r="Q227" s="2" t="s">
        <v>1128</v>
      </c>
      <c r="R227" s="3">
        <v>1640</v>
      </c>
      <c r="S227" s="2" t="s">
        <v>345</v>
      </c>
      <c r="T227" s="2" t="s">
        <v>1129</v>
      </c>
      <c r="U227" s="2" t="s">
        <v>1130</v>
      </c>
      <c r="V227" s="9">
        <v>32</v>
      </c>
      <c r="W227" s="5">
        <f t="shared" si="34"/>
        <v>0</v>
      </c>
      <c r="X227" s="6">
        <f t="shared" si="35"/>
        <v>0</v>
      </c>
    </row>
    <row r="228" spans="1:24" ht="12">
      <c r="A228" s="2" t="s">
        <v>1093</v>
      </c>
      <c r="B228" s="196" t="s">
        <v>1374</v>
      </c>
      <c r="C228" s="2" t="s">
        <v>1393</v>
      </c>
      <c r="D228" s="2" t="str">
        <f t="shared" si="30"/>
        <v>Patricia MEERT</v>
      </c>
      <c r="E228" s="2" t="str">
        <f t="shared" si="31"/>
        <v>MEERT Patricia</v>
      </c>
      <c r="F228" s="9">
        <v>35.9</v>
      </c>
      <c r="G228" s="9" t="s">
        <v>84</v>
      </c>
      <c r="H228" s="214">
        <v>1000884</v>
      </c>
      <c r="I228" s="4" t="s">
        <v>1136</v>
      </c>
      <c r="J228" s="217" t="s">
        <v>1540</v>
      </c>
      <c r="K228" s="21">
        <v>19207</v>
      </c>
      <c r="L228" s="23">
        <f t="shared" si="32"/>
        <v>64</v>
      </c>
      <c r="M228" s="23">
        <f t="shared" si="36"/>
        <v>99.9</v>
      </c>
      <c r="N228" s="8" t="str">
        <f ca="1" t="shared" si="33"/>
        <v> </v>
      </c>
      <c r="O228" s="8" t="str">
        <f t="shared" si="37"/>
        <v> </v>
      </c>
      <c r="P228" s="8" t="s">
        <v>1540</v>
      </c>
      <c r="Q228" s="2" t="s">
        <v>1128</v>
      </c>
      <c r="R228" s="3">
        <v>1640</v>
      </c>
      <c r="S228" s="2" t="s">
        <v>345</v>
      </c>
      <c r="T228" s="2" t="s">
        <v>1129</v>
      </c>
      <c r="U228" s="2" t="s">
        <v>1131</v>
      </c>
      <c r="V228" s="9">
        <v>35.9</v>
      </c>
      <c r="W228" s="5">
        <f t="shared" si="34"/>
        <v>0</v>
      </c>
      <c r="X228" s="6">
        <f t="shared" si="35"/>
        <v>0</v>
      </c>
    </row>
    <row r="229" spans="1:24" ht="12">
      <c r="A229" s="2" t="s">
        <v>1092</v>
      </c>
      <c r="B229" s="196" t="s">
        <v>1160</v>
      </c>
      <c r="C229" s="2" t="s">
        <v>1394</v>
      </c>
      <c r="D229" s="2" t="str">
        <f t="shared" si="30"/>
        <v>Jacques MEILLEUR</v>
      </c>
      <c r="E229" s="2" t="str">
        <f t="shared" si="31"/>
        <v>MEILLEUR Jacques</v>
      </c>
      <c r="F229" s="9">
        <v>36</v>
      </c>
      <c r="G229" s="9" t="s">
        <v>84</v>
      </c>
      <c r="H229" s="214">
        <v>710092</v>
      </c>
      <c r="I229" s="4" t="s">
        <v>1005</v>
      </c>
      <c r="J229" s="217" t="s">
        <v>1540</v>
      </c>
      <c r="K229" s="21">
        <v>15052</v>
      </c>
      <c r="L229" s="23">
        <f t="shared" si="32"/>
        <v>76</v>
      </c>
      <c r="M229" s="23">
        <f t="shared" si="36"/>
        <v>112</v>
      </c>
      <c r="N229" s="8" t="str">
        <f ca="1" t="shared" si="33"/>
        <v> </v>
      </c>
      <c r="O229" s="8" t="str">
        <f t="shared" si="37"/>
        <v> </v>
      </c>
      <c r="P229" s="8" t="s">
        <v>1540</v>
      </c>
      <c r="Q229" s="2" t="s">
        <v>849</v>
      </c>
      <c r="R229" s="3">
        <v>1330</v>
      </c>
      <c r="S229" s="2" t="s">
        <v>768</v>
      </c>
      <c r="T229" s="2" t="s">
        <v>575</v>
      </c>
      <c r="U229" s="2" t="s">
        <v>576</v>
      </c>
      <c r="V229" s="9">
        <v>36</v>
      </c>
      <c r="W229" s="5">
        <f t="shared" si="34"/>
        <v>0</v>
      </c>
      <c r="X229" s="6">
        <f t="shared" si="35"/>
        <v>0</v>
      </c>
    </row>
    <row r="230" spans="1:24" ht="12">
      <c r="A230" s="2" t="s">
        <v>1093</v>
      </c>
      <c r="B230" s="196" t="s">
        <v>1375</v>
      </c>
      <c r="C230" s="2" t="s">
        <v>1395</v>
      </c>
      <c r="D230" s="2" t="str">
        <f t="shared" si="30"/>
        <v>Jany MEILLEUR </v>
      </c>
      <c r="E230" s="2" t="str">
        <f t="shared" si="31"/>
        <v>MEILLEUR  Jany</v>
      </c>
      <c r="F230" s="9">
        <v>28.9</v>
      </c>
      <c r="G230" s="9" t="s">
        <v>84</v>
      </c>
      <c r="H230" s="214">
        <v>710093</v>
      </c>
      <c r="I230" s="4" t="s">
        <v>1006</v>
      </c>
      <c r="J230" s="217" t="s">
        <v>1540</v>
      </c>
      <c r="K230" s="21">
        <v>17072</v>
      </c>
      <c r="L230" s="23">
        <f t="shared" si="32"/>
        <v>70</v>
      </c>
      <c r="M230" s="23">
        <f t="shared" si="36"/>
        <v>98.9</v>
      </c>
      <c r="N230" s="8" t="str">
        <f ca="1" t="shared" si="33"/>
        <v> </v>
      </c>
      <c r="O230" s="8" t="str">
        <f t="shared" si="37"/>
        <v> </v>
      </c>
      <c r="P230" s="8" t="s">
        <v>1540</v>
      </c>
      <c r="Q230" s="2" t="s">
        <v>849</v>
      </c>
      <c r="R230" s="3">
        <v>1330</v>
      </c>
      <c r="S230" s="2" t="s">
        <v>768</v>
      </c>
      <c r="T230" s="2" t="s">
        <v>575</v>
      </c>
      <c r="U230" s="2" t="s">
        <v>577</v>
      </c>
      <c r="V230" s="9">
        <v>28.9</v>
      </c>
      <c r="W230" s="5">
        <f t="shared" si="34"/>
        <v>0</v>
      </c>
      <c r="X230" s="6">
        <f t="shared" si="35"/>
        <v>0</v>
      </c>
    </row>
    <row r="231" spans="1:24" ht="12">
      <c r="A231" s="2" t="s">
        <v>1093</v>
      </c>
      <c r="B231" s="196" t="s">
        <v>1311</v>
      </c>
      <c r="C231" s="2" t="s">
        <v>1396</v>
      </c>
      <c r="D231" s="2" t="str">
        <f t="shared" si="30"/>
        <v>Edith MICHAUX</v>
      </c>
      <c r="E231" s="2" t="str">
        <f t="shared" si="31"/>
        <v>MICHAUX Edith</v>
      </c>
      <c r="F231" s="9">
        <v>28.4</v>
      </c>
      <c r="G231" s="9" t="s">
        <v>83</v>
      </c>
      <c r="H231" s="214">
        <v>227504</v>
      </c>
      <c r="I231" s="4" t="s">
        <v>165</v>
      </c>
      <c r="J231" s="217" t="s">
        <v>1540</v>
      </c>
      <c r="K231" s="21">
        <v>12782</v>
      </c>
      <c r="L231" s="23">
        <f t="shared" si="32"/>
        <v>82</v>
      </c>
      <c r="M231" s="23">
        <f t="shared" si="36"/>
        <v>110.4</v>
      </c>
      <c r="N231" s="8" t="str">
        <f ca="1" t="shared" si="33"/>
        <v> </v>
      </c>
      <c r="O231" s="8" t="str">
        <f t="shared" si="37"/>
        <v> </v>
      </c>
      <c r="P231" s="8"/>
      <c r="Q231" s="2" t="s">
        <v>1113</v>
      </c>
      <c r="R231" s="3">
        <v>1332</v>
      </c>
      <c r="S231" s="2" t="s">
        <v>1114</v>
      </c>
      <c r="T231" s="2" t="s">
        <v>1115</v>
      </c>
      <c r="U231" s="2" t="s">
        <v>1116</v>
      </c>
      <c r="V231" s="9">
        <v>28.4</v>
      </c>
      <c r="W231" s="5">
        <f t="shared" si="34"/>
        <v>0</v>
      </c>
      <c r="X231" s="6">
        <f t="shared" si="35"/>
        <v>0</v>
      </c>
    </row>
    <row r="232" spans="1:24" ht="12">
      <c r="A232" s="2" t="s">
        <v>1092</v>
      </c>
      <c r="B232" s="196" t="s">
        <v>16</v>
      </c>
      <c r="C232" s="2" t="s">
        <v>17</v>
      </c>
      <c r="D232" s="2" t="str">
        <f t="shared" si="30"/>
        <v>Joseph MICOLI</v>
      </c>
      <c r="E232" s="2" t="str">
        <f t="shared" si="31"/>
        <v>MICOLI Joseph</v>
      </c>
      <c r="F232" s="9">
        <v>29</v>
      </c>
      <c r="G232" s="9" t="s">
        <v>84</v>
      </c>
      <c r="H232" s="214">
        <v>1005420</v>
      </c>
      <c r="I232" s="4" t="s">
        <v>24</v>
      </c>
      <c r="J232" s="217" t="s">
        <v>1540</v>
      </c>
      <c r="K232" s="21">
        <v>19995</v>
      </c>
      <c r="L232" s="23">
        <f t="shared" si="32"/>
        <v>62</v>
      </c>
      <c r="M232" s="23">
        <f t="shared" si="36"/>
        <v>91</v>
      </c>
      <c r="N232" s="8" t="str">
        <f ca="1" t="shared" si="33"/>
        <v> </v>
      </c>
      <c r="O232" s="8" t="str">
        <f t="shared" si="37"/>
        <v> </v>
      </c>
      <c r="P232" s="8"/>
      <c r="Q232" s="2" t="s">
        <v>25</v>
      </c>
      <c r="R232" s="3">
        <v>1420</v>
      </c>
      <c r="S232" s="2" t="s">
        <v>535</v>
      </c>
      <c r="T232" s="2"/>
      <c r="U232" s="2" t="s">
        <v>26</v>
      </c>
      <c r="V232" s="9">
        <v>29</v>
      </c>
      <c r="W232" s="5">
        <f t="shared" si="34"/>
        <v>0</v>
      </c>
      <c r="X232" s="6">
        <f t="shared" si="35"/>
        <v>0</v>
      </c>
    </row>
    <row r="233" spans="1:24" ht="12">
      <c r="A233" s="2" t="s">
        <v>1093</v>
      </c>
      <c r="B233" s="196" t="s">
        <v>1376</v>
      </c>
      <c r="C233" s="2" t="s">
        <v>1397</v>
      </c>
      <c r="D233" s="2" t="str">
        <f t="shared" si="30"/>
        <v>Brigitte MOREAU de MELEN </v>
      </c>
      <c r="E233" s="2" t="str">
        <f t="shared" si="31"/>
        <v>MOREAU de MELEN  Brigitte</v>
      </c>
      <c r="F233" s="9">
        <v>18</v>
      </c>
      <c r="G233" s="9" t="s">
        <v>84</v>
      </c>
      <c r="H233" s="214">
        <v>227523</v>
      </c>
      <c r="I233" s="4" t="s">
        <v>1007</v>
      </c>
      <c r="J233" s="217" t="s">
        <v>1540</v>
      </c>
      <c r="K233" s="21">
        <v>15534</v>
      </c>
      <c r="L233" s="23">
        <f t="shared" si="32"/>
        <v>74</v>
      </c>
      <c r="M233" s="23">
        <f t="shared" si="36"/>
        <v>92</v>
      </c>
      <c r="N233" s="8" t="str">
        <f ca="1" t="shared" si="33"/>
        <v> </v>
      </c>
      <c r="O233" s="8" t="str">
        <f t="shared" si="37"/>
        <v> </v>
      </c>
      <c r="P233" s="8" t="s">
        <v>1540</v>
      </c>
      <c r="Q233" s="2" t="s">
        <v>850</v>
      </c>
      <c r="R233" s="3">
        <v>1420</v>
      </c>
      <c r="S233" s="2" t="s">
        <v>535</v>
      </c>
      <c r="T233" s="2" t="s">
        <v>597</v>
      </c>
      <c r="U233" s="2" t="s">
        <v>598</v>
      </c>
      <c r="V233" s="9">
        <v>18</v>
      </c>
      <c r="W233" s="5">
        <f t="shared" si="34"/>
        <v>0</v>
      </c>
      <c r="X233" s="6">
        <f t="shared" si="35"/>
        <v>0</v>
      </c>
    </row>
    <row r="234" spans="1:24" ht="12">
      <c r="A234" s="2" t="s">
        <v>1093</v>
      </c>
      <c r="B234" s="196" t="s">
        <v>1377</v>
      </c>
      <c r="C234" s="2" t="s">
        <v>1398</v>
      </c>
      <c r="D234" s="2" t="str">
        <f t="shared" si="30"/>
        <v>Fernande MORRIS </v>
      </c>
      <c r="E234" s="2" t="str">
        <f t="shared" si="31"/>
        <v>MORRIS  Fernande</v>
      </c>
      <c r="F234" s="9">
        <v>24</v>
      </c>
      <c r="G234" s="9" t="s">
        <v>83</v>
      </c>
      <c r="H234" s="214">
        <v>227529</v>
      </c>
      <c r="I234" s="4" t="s">
        <v>1008</v>
      </c>
      <c r="J234" s="217"/>
      <c r="K234" s="21">
        <v>9623</v>
      </c>
      <c r="L234" s="23">
        <f t="shared" si="32"/>
        <v>91</v>
      </c>
      <c r="M234" s="23">
        <f t="shared" si="36"/>
        <v>115</v>
      </c>
      <c r="N234" s="8" t="str">
        <f ca="1" t="shared" si="33"/>
        <v> </v>
      </c>
      <c r="O234" s="8" t="str">
        <f t="shared" si="37"/>
        <v> </v>
      </c>
      <c r="P234" s="8"/>
      <c r="Q234" s="2" t="s">
        <v>851</v>
      </c>
      <c r="R234" s="3">
        <v>1180</v>
      </c>
      <c r="S234" s="2" t="s">
        <v>546</v>
      </c>
      <c r="T234" s="2" t="s">
        <v>599</v>
      </c>
      <c r="U234" s="2"/>
      <c r="V234" s="9">
        <v>24</v>
      </c>
      <c r="W234" s="5">
        <f t="shared" si="34"/>
        <v>0</v>
      </c>
      <c r="X234" s="6">
        <f t="shared" si="35"/>
        <v>0</v>
      </c>
    </row>
    <row r="235" spans="1:24" ht="12">
      <c r="A235" s="2" t="s">
        <v>1092</v>
      </c>
      <c r="B235" s="196" t="s">
        <v>1378</v>
      </c>
      <c r="C235" s="2" t="s">
        <v>1399</v>
      </c>
      <c r="D235" s="2" t="str">
        <f t="shared" si="30"/>
        <v>Raymond MOSTERT</v>
      </c>
      <c r="E235" s="2" t="str">
        <f t="shared" si="31"/>
        <v>MOSTERT Raymond</v>
      </c>
      <c r="F235" s="9">
        <v>15.5</v>
      </c>
      <c r="G235" s="9" t="s">
        <v>84</v>
      </c>
      <c r="H235" s="214">
        <v>102158</v>
      </c>
      <c r="I235" s="4" t="s">
        <v>1009</v>
      </c>
      <c r="J235" s="217" t="s">
        <v>1540</v>
      </c>
      <c r="K235" s="21">
        <v>16995</v>
      </c>
      <c r="L235" s="23">
        <f t="shared" si="32"/>
        <v>70</v>
      </c>
      <c r="M235" s="23">
        <f t="shared" si="36"/>
        <v>85.5</v>
      </c>
      <c r="N235" s="8" t="str">
        <f ca="1" t="shared" si="33"/>
        <v> </v>
      </c>
      <c r="O235" s="8" t="str">
        <f t="shared" si="37"/>
        <v> </v>
      </c>
      <c r="P235" s="8" t="s">
        <v>1540</v>
      </c>
      <c r="Q235" s="2" t="s">
        <v>852</v>
      </c>
      <c r="R235" s="3">
        <v>1301</v>
      </c>
      <c r="S235" s="2" t="s">
        <v>342</v>
      </c>
      <c r="T235" s="2"/>
      <c r="U235" s="2" t="s">
        <v>3</v>
      </c>
      <c r="V235" s="9">
        <v>15.5</v>
      </c>
      <c r="W235" s="5">
        <f t="shared" si="34"/>
        <v>0</v>
      </c>
      <c r="X235" s="6">
        <f t="shared" si="35"/>
        <v>0</v>
      </c>
    </row>
    <row r="236" spans="1:24" ht="12">
      <c r="A236" s="2" t="s">
        <v>1092</v>
      </c>
      <c r="B236" s="196" t="s">
        <v>1758</v>
      </c>
      <c r="C236" s="2" t="s">
        <v>1759</v>
      </c>
      <c r="D236" s="2" t="str">
        <f t="shared" si="30"/>
        <v>Gilbert MOSZER</v>
      </c>
      <c r="E236" s="2" t="str">
        <f t="shared" si="31"/>
        <v>MOSZER Gilbert</v>
      </c>
      <c r="F236" s="9">
        <v>9.9</v>
      </c>
      <c r="G236" s="9" t="s">
        <v>84</v>
      </c>
      <c r="H236" s="214">
        <v>1012281</v>
      </c>
      <c r="I236" s="4" t="s">
        <v>1812</v>
      </c>
      <c r="J236" s="217"/>
      <c r="K236" s="21">
        <v>12689</v>
      </c>
      <c r="L236" s="23">
        <f t="shared" si="32"/>
        <v>82</v>
      </c>
      <c r="M236" s="23">
        <f aca="true" t="shared" si="38" ref="M236:M267">L236+F236</f>
        <v>91.9</v>
      </c>
      <c r="N236" s="8" t="str">
        <f ca="1" t="shared" si="33"/>
        <v> </v>
      </c>
      <c r="O236" s="8" t="str">
        <f t="shared" si="37"/>
        <v> </v>
      </c>
      <c r="P236" s="8"/>
      <c r="Q236" s="2" t="s">
        <v>1760</v>
      </c>
      <c r="R236" s="3">
        <v>1180</v>
      </c>
      <c r="S236" s="2" t="s">
        <v>546</v>
      </c>
      <c r="T236" s="2" t="s">
        <v>1761</v>
      </c>
      <c r="U236" s="2" t="s">
        <v>1762</v>
      </c>
      <c r="V236" s="9">
        <v>9.9</v>
      </c>
      <c r="W236" s="5">
        <f t="shared" si="34"/>
        <v>0</v>
      </c>
      <c r="X236" s="6">
        <f t="shared" si="35"/>
        <v>0</v>
      </c>
    </row>
    <row r="237" spans="1:24" ht="12">
      <c r="A237" s="2" t="s">
        <v>1093</v>
      </c>
      <c r="B237" s="196" t="s">
        <v>1412</v>
      </c>
      <c r="C237" s="2" t="s">
        <v>1759</v>
      </c>
      <c r="D237" s="2" t="str">
        <f t="shared" si="30"/>
        <v>Monique MOSZER</v>
      </c>
      <c r="E237" s="2" t="str">
        <f t="shared" si="31"/>
        <v>MOSZER Monique</v>
      </c>
      <c r="F237" s="9">
        <v>18.4</v>
      </c>
      <c r="G237" s="9" t="s">
        <v>84</v>
      </c>
      <c r="H237" s="214">
        <v>1012280</v>
      </c>
      <c r="I237" s="4" t="s">
        <v>1763</v>
      </c>
      <c r="J237" s="217"/>
      <c r="K237" s="21">
        <v>15656</v>
      </c>
      <c r="L237" s="23">
        <f t="shared" si="32"/>
        <v>74</v>
      </c>
      <c r="M237" s="23">
        <f t="shared" si="38"/>
        <v>92.4</v>
      </c>
      <c r="N237" s="8" t="str">
        <f ca="1" t="shared" si="33"/>
        <v> </v>
      </c>
      <c r="O237" s="8" t="str">
        <f t="shared" si="37"/>
        <v> </v>
      </c>
      <c r="P237" s="8"/>
      <c r="Q237" s="2" t="s">
        <v>1760</v>
      </c>
      <c r="R237" s="3">
        <v>1180</v>
      </c>
      <c r="S237" s="2" t="s">
        <v>546</v>
      </c>
      <c r="T237" s="2" t="s">
        <v>1761</v>
      </c>
      <c r="U237" s="2" t="s">
        <v>1764</v>
      </c>
      <c r="V237" s="9">
        <v>18.4</v>
      </c>
      <c r="W237" s="5">
        <f t="shared" si="34"/>
        <v>0</v>
      </c>
      <c r="X237" s="6">
        <f t="shared" si="35"/>
        <v>0</v>
      </c>
    </row>
    <row r="238" spans="1:24" ht="12">
      <c r="A238" s="2" t="s">
        <v>1093</v>
      </c>
      <c r="B238" s="196" t="s">
        <v>1379</v>
      </c>
      <c r="C238" s="2" t="s">
        <v>1400</v>
      </c>
      <c r="D238" s="2" t="str">
        <f t="shared" si="30"/>
        <v>Danielle MOUCQ </v>
      </c>
      <c r="E238" s="2" t="str">
        <f t="shared" si="31"/>
        <v>MOUCQ  Danielle</v>
      </c>
      <c r="F238" s="9">
        <v>24.4</v>
      </c>
      <c r="G238" s="9" t="s">
        <v>84</v>
      </c>
      <c r="H238" s="214">
        <v>197947</v>
      </c>
      <c r="I238" s="4" t="s">
        <v>1010</v>
      </c>
      <c r="J238" s="217" t="s">
        <v>1540</v>
      </c>
      <c r="K238" s="21">
        <v>17240</v>
      </c>
      <c r="L238" s="23">
        <f t="shared" si="32"/>
        <v>70</v>
      </c>
      <c r="M238" s="23">
        <f t="shared" si="38"/>
        <v>94.4</v>
      </c>
      <c r="N238" s="8" t="str">
        <f ca="1" t="shared" si="33"/>
        <v> </v>
      </c>
      <c r="O238" s="8" t="str">
        <f t="shared" si="37"/>
        <v> </v>
      </c>
      <c r="P238" s="8" t="s">
        <v>1540</v>
      </c>
      <c r="Q238" s="2" t="s">
        <v>240</v>
      </c>
      <c r="R238" s="3">
        <v>1640</v>
      </c>
      <c r="S238" s="2" t="s">
        <v>345</v>
      </c>
      <c r="T238" s="2" t="s">
        <v>578</v>
      </c>
      <c r="U238" s="2" t="s">
        <v>385</v>
      </c>
      <c r="V238" s="9">
        <v>24.4</v>
      </c>
      <c r="W238" s="5">
        <f t="shared" si="34"/>
        <v>0</v>
      </c>
      <c r="X238" s="6">
        <f t="shared" si="35"/>
        <v>0</v>
      </c>
    </row>
    <row r="239" spans="1:24" ht="12">
      <c r="A239" s="2" t="s">
        <v>1092</v>
      </c>
      <c r="B239" s="196" t="s">
        <v>1223</v>
      </c>
      <c r="C239" s="2" t="s">
        <v>1401</v>
      </c>
      <c r="D239" s="2" t="str">
        <f t="shared" si="30"/>
        <v>Thierry NAZé </v>
      </c>
      <c r="E239" s="2" t="str">
        <f t="shared" si="31"/>
        <v>NAZé  Thierry</v>
      </c>
      <c r="F239" s="9">
        <v>13.3</v>
      </c>
      <c r="G239" s="9" t="s">
        <v>84</v>
      </c>
      <c r="H239" s="214">
        <v>227543</v>
      </c>
      <c r="I239" s="4" t="s">
        <v>1011</v>
      </c>
      <c r="J239" s="217"/>
      <c r="K239" s="21">
        <v>16948</v>
      </c>
      <c r="L239" s="23">
        <f t="shared" si="32"/>
        <v>71</v>
      </c>
      <c r="M239" s="23">
        <f t="shared" si="38"/>
        <v>84.3</v>
      </c>
      <c r="N239" s="8" t="str">
        <f ca="1" t="shared" si="33"/>
        <v> </v>
      </c>
      <c r="O239" s="8" t="str">
        <f t="shared" si="37"/>
        <v> </v>
      </c>
      <c r="P239" s="8"/>
      <c r="Q239" s="2" t="s">
        <v>241</v>
      </c>
      <c r="R239" s="3">
        <v>1190</v>
      </c>
      <c r="S239" s="2" t="s">
        <v>546</v>
      </c>
      <c r="T239" s="2" t="s">
        <v>701</v>
      </c>
      <c r="U239" s="2" t="s">
        <v>558</v>
      </c>
      <c r="V239" s="9">
        <v>13.3</v>
      </c>
      <c r="W239" s="5">
        <f t="shared" si="34"/>
        <v>0</v>
      </c>
      <c r="X239" s="6">
        <f t="shared" si="35"/>
        <v>0</v>
      </c>
    </row>
    <row r="240" spans="1:24" ht="12">
      <c r="A240" s="2" t="s">
        <v>1093</v>
      </c>
      <c r="B240" s="196" t="s">
        <v>1403</v>
      </c>
      <c r="C240" s="2" t="s">
        <v>1402</v>
      </c>
      <c r="D240" s="2" t="str">
        <f t="shared" si="30"/>
        <v>Liliane NEID </v>
      </c>
      <c r="E240" s="2" t="str">
        <f t="shared" si="31"/>
        <v>NEID  Liliane</v>
      </c>
      <c r="F240" s="9">
        <v>12.6</v>
      </c>
      <c r="G240" s="9" t="s">
        <v>84</v>
      </c>
      <c r="H240" s="214">
        <v>702706</v>
      </c>
      <c r="I240" s="4" t="s">
        <v>1915</v>
      </c>
      <c r="J240" s="217" t="s">
        <v>1540</v>
      </c>
      <c r="K240" s="21">
        <v>16299</v>
      </c>
      <c r="L240" s="23">
        <f t="shared" si="32"/>
        <v>72</v>
      </c>
      <c r="M240" s="23">
        <f t="shared" si="38"/>
        <v>84.6</v>
      </c>
      <c r="N240" s="8" t="str">
        <f ca="1" t="shared" si="33"/>
        <v> </v>
      </c>
      <c r="O240" s="8" t="str">
        <f t="shared" si="37"/>
        <v> </v>
      </c>
      <c r="P240" s="8"/>
      <c r="Q240" s="2" t="s">
        <v>242</v>
      </c>
      <c r="R240" s="3">
        <v>1652</v>
      </c>
      <c r="S240" s="2" t="s">
        <v>542</v>
      </c>
      <c r="T240" s="2" t="s">
        <v>509</v>
      </c>
      <c r="U240" s="2" t="s">
        <v>510</v>
      </c>
      <c r="V240" s="9">
        <v>12.6</v>
      </c>
      <c r="W240" s="5">
        <f t="shared" si="34"/>
        <v>0</v>
      </c>
      <c r="X240" s="6">
        <f t="shared" si="35"/>
        <v>0</v>
      </c>
    </row>
    <row r="241" spans="1:24" ht="12">
      <c r="A241" s="2" t="s">
        <v>1093</v>
      </c>
      <c r="B241" s="196" t="s">
        <v>1404</v>
      </c>
      <c r="C241" s="2" t="s">
        <v>1417</v>
      </c>
      <c r="D241" s="2" t="str">
        <f t="shared" si="30"/>
        <v>Grazia NEUENSCHWANDER </v>
      </c>
      <c r="E241" s="2" t="str">
        <f t="shared" si="31"/>
        <v>NEUENSCHWANDER  Grazia</v>
      </c>
      <c r="F241" s="9">
        <v>23.6</v>
      </c>
      <c r="G241" s="9" t="s">
        <v>84</v>
      </c>
      <c r="H241" s="214">
        <v>254715</v>
      </c>
      <c r="I241" s="4" t="s">
        <v>1916</v>
      </c>
      <c r="J241" s="217" t="s">
        <v>1540</v>
      </c>
      <c r="K241" s="21">
        <v>16552</v>
      </c>
      <c r="L241" s="23">
        <f t="shared" si="32"/>
        <v>72</v>
      </c>
      <c r="M241" s="23">
        <f t="shared" si="38"/>
        <v>95.6</v>
      </c>
      <c r="N241" s="8" t="str">
        <f ca="1" t="shared" si="33"/>
        <v> </v>
      </c>
      <c r="O241" s="8" t="str">
        <f t="shared" si="37"/>
        <v> </v>
      </c>
      <c r="P241" s="8" t="s">
        <v>1540</v>
      </c>
      <c r="Q241" s="2" t="s">
        <v>1747</v>
      </c>
      <c r="R241" s="3">
        <v>1420</v>
      </c>
      <c r="S241" s="2" t="s">
        <v>535</v>
      </c>
      <c r="T241" s="2" t="s">
        <v>600</v>
      </c>
      <c r="U241" s="2" t="s">
        <v>343</v>
      </c>
      <c r="V241" s="9">
        <v>23.6</v>
      </c>
      <c r="W241" s="5">
        <f t="shared" si="34"/>
        <v>0</v>
      </c>
      <c r="X241" s="6">
        <f t="shared" si="35"/>
        <v>0</v>
      </c>
    </row>
    <row r="242" spans="1:24" ht="12">
      <c r="A242" s="2" t="s">
        <v>1092</v>
      </c>
      <c r="B242" s="196" t="s">
        <v>1405</v>
      </c>
      <c r="C242" s="2" t="s">
        <v>1418</v>
      </c>
      <c r="D242" s="2" t="str">
        <f t="shared" si="30"/>
        <v>Albert NEVE </v>
      </c>
      <c r="E242" s="2" t="str">
        <f t="shared" si="31"/>
        <v>NEVE  Albert</v>
      </c>
      <c r="F242" s="9">
        <v>17.799999237060547</v>
      </c>
      <c r="G242" s="9" t="s">
        <v>83</v>
      </c>
      <c r="H242" s="214">
        <v>227548</v>
      </c>
      <c r="I242" s="4" t="s">
        <v>1012</v>
      </c>
      <c r="J242" s="217" t="s">
        <v>1540</v>
      </c>
      <c r="K242" s="21">
        <v>13104</v>
      </c>
      <c r="L242" s="23">
        <f t="shared" si="32"/>
        <v>81</v>
      </c>
      <c r="M242" s="23">
        <f t="shared" si="38"/>
        <v>98.79999923706055</v>
      </c>
      <c r="N242" s="8" t="str">
        <f ca="1" t="shared" si="33"/>
        <v> </v>
      </c>
      <c r="O242" s="8" t="str">
        <f t="shared" si="37"/>
        <v> </v>
      </c>
      <c r="P242" s="8" t="s">
        <v>1540</v>
      </c>
      <c r="Q242" s="2" t="s">
        <v>243</v>
      </c>
      <c r="R242" s="3">
        <v>1380</v>
      </c>
      <c r="S242" s="2" t="s">
        <v>351</v>
      </c>
      <c r="T242" s="2" t="s">
        <v>354</v>
      </c>
      <c r="U242" s="2" t="s">
        <v>444</v>
      </c>
      <c r="V242" s="9">
        <v>17.799999237060547</v>
      </c>
      <c r="W242" s="5">
        <f t="shared" si="34"/>
        <v>0</v>
      </c>
      <c r="X242" s="6">
        <f t="shared" si="35"/>
        <v>0</v>
      </c>
    </row>
    <row r="243" spans="1:24" ht="12">
      <c r="A243" s="2" t="s">
        <v>1093</v>
      </c>
      <c r="B243" s="196" t="s">
        <v>1226</v>
      </c>
      <c r="C243" s="2" t="s">
        <v>1418</v>
      </c>
      <c r="D243" s="2" t="str">
        <f t="shared" si="30"/>
        <v>Françoise NEVE </v>
      </c>
      <c r="E243" s="2" t="str">
        <f t="shared" si="31"/>
        <v>NEVE  Françoise</v>
      </c>
      <c r="F243" s="9">
        <v>25.700000762939453</v>
      </c>
      <c r="G243" s="9" t="s">
        <v>83</v>
      </c>
      <c r="H243" s="214">
        <v>227549</v>
      </c>
      <c r="I243" s="4" t="s">
        <v>1012</v>
      </c>
      <c r="J243" s="217" t="s">
        <v>1540</v>
      </c>
      <c r="K243" s="21">
        <v>13812</v>
      </c>
      <c r="L243" s="23">
        <f t="shared" si="32"/>
        <v>79</v>
      </c>
      <c r="M243" s="23">
        <f t="shared" si="38"/>
        <v>104.70000076293945</v>
      </c>
      <c r="N243" s="8" t="str">
        <f ca="1" t="shared" si="33"/>
        <v> </v>
      </c>
      <c r="O243" s="8" t="str">
        <f t="shared" si="37"/>
        <v> </v>
      </c>
      <c r="P243" s="8" t="s">
        <v>1540</v>
      </c>
      <c r="Q243" s="2" t="s">
        <v>243</v>
      </c>
      <c r="R243" s="3">
        <v>1380</v>
      </c>
      <c r="S243" s="2" t="s">
        <v>351</v>
      </c>
      <c r="T243" s="2" t="s">
        <v>354</v>
      </c>
      <c r="U243" s="2" t="s">
        <v>445</v>
      </c>
      <c r="V243" s="9">
        <v>25.700000762939453</v>
      </c>
      <c r="W243" s="5">
        <f t="shared" si="34"/>
        <v>0</v>
      </c>
      <c r="X243" s="6">
        <f t="shared" si="35"/>
        <v>0</v>
      </c>
    </row>
    <row r="244" spans="1:24" ht="12">
      <c r="A244" s="2" t="s">
        <v>1093</v>
      </c>
      <c r="B244" s="196" t="s">
        <v>1276</v>
      </c>
      <c r="C244" s="2" t="s">
        <v>155</v>
      </c>
      <c r="D244" s="2" t="str">
        <f t="shared" si="30"/>
        <v>Sieglinde OEHLER-ENTMAYR</v>
      </c>
      <c r="E244" s="2" t="str">
        <f t="shared" si="31"/>
        <v>OEHLER-ENTMAYR Sieglinde</v>
      </c>
      <c r="F244" s="9">
        <v>15.3</v>
      </c>
      <c r="G244" s="9" t="s">
        <v>84</v>
      </c>
      <c r="H244" s="214">
        <v>703145</v>
      </c>
      <c r="I244" s="4" t="s">
        <v>1748</v>
      </c>
      <c r="J244" s="217" t="s">
        <v>1540</v>
      </c>
      <c r="K244" s="21">
        <v>20561</v>
      </c>
      <c r="L244" s="23">
        <f t="shared" si="32"/>
        <v>61</v>
      </c>
      <c r="M244" s="23">
        <f t="shared" si="38"/>
        <v>76.3</v>
      </c>
      <c r="N244" s="8" t="str">
        <f ca="1" t="shared" si="33"/>
        <v> </v>
      </c>
      <c r="O244" s="8" t="str">
        <f t="shared" si="37"/>
        <v> </v>
      </c>
      <c r="P244" s="8"/>
      <c r="Q244" s="2" t="s">
        <v>796</v>
      </c>
      <c r="R244" s="3">
        <v>1640</v>
      </c>
      <c r="S244" s="2" t="s">
        <v>345</v>
      </c>
      <c r="T244" s="2" t="s">
        <v>640</v>
      </c>
      <c r="U244" s="2" t="s">
        <v>641</v>
      </c>
      <c r="V244" s="9">
        <v>15.3</v>
      </c>
      <c r="W244" s="5">
        <f t="shared" si="34"/>
        <v>0</v>
      </c>
      <c r="X244" s="6">
        <f t="shared" si="35"/>
        <v>0</v>
      </c>
    </row>
    <row r="245" spans="1:24" ht="12">
      <c r="A245" s="2" t="s">
        <v>1092</v>
      </c>
      <c r="B245" s="196" t="s">
        <v>1170</v>
      </c>
      <c r="C245" s="2" t="s">
        <v>1419</v>
      </c>
      <c r="D245" s="2" t="str">
        <f t="shared" si="30"/>
        <v>Alain ORBAN </v>
      </c>
      <c r="E245" s="2" t="str">
        <f t="shared" si="31"/>
        <v>ORBAN  Alain</v>
      </c>
      <c r="F245" s="9">
        <v>19</v>
      </c>
      <c r="G245" s="9" t="s">
        <v>83</v>
      </c>
      <c r="H245" s="214">
        <v>227570</v>
      </c>
      <c r="I245" s="4" t="s">
        <v>1013</v>
      </c>
      <c r="J245" s="217" t="s">
        <v>1540</v>
      </c>
      <c r="K245" s="21">
        <v>13199</v>
      </c>
      <c r="L245" s="23">
        <f t="shared" si="32"/>
        <v>81</v>
      </c>
      <c r="M245" s="23">
        <f t="shared" si="38"/>
        <v>100</v>
      </c>
      <c r="N245" s="8" t="str">
        <f ca="1" t="shared" si="33"/>
        <v> </v>
      </c>
      <c r="O245" s="8" t="str">
        <f t="shared" si="37"/>
        <v> </v>
      </c>
      <c r="P245" s="8" t="s">
        <v>1540</v>
      </c>
      <c r="Q245" s="2" t="s">
        <v>1745</v>
      </c>
      <c r="R245" s="3">
        <v>1180</v>
      </c>
      <c r="S245" s="2" t="s">
        <v>546</v>
      </c>
      <c r="T245" s="2" t="s">
        <v>355</v>
      </c>
      <c r="U245" s="2"/>
      <c r="V245" s="9">
        <v>19</v>
      </c>
      <c r="W245" s="5">
        <f t="shared" si="34"/>
        <v>0</v>
      </c>
      <c r="X245" s="6">
        <f t="shared" si="35"/>
        <v>0</v>
      </c>
    </row>
    <row r="246" spans="1:24" ht="12">
      <c r="A246" s="2" t="s">
        <v>1093</v>
      </c>
      <c r="B246" s="196" t="s">
        <v>1406</v>
      </c>
      <c r="C246" s="2" t="s">
        <v>1419</v>
      </c>
      <c r="D246" s="2" t="str">
        <f t="shared" si="30"/>
        <v>Dominique ORBAN </v>
      </c>
      <c r="E246" s="2" t="str">
        <f t="shared" si="31"/>
        <v>ORBAN  Dominique</v>
      </c>
      <c r="F246" s="9">
        <v>16.4</v>
      </c>
      <c r="G246" s="9" t="s">
        <v>84</v>
      </c>
      <c r="H246" s="214">
        <v>227571</v>
      </c>
      <c r="I246" s="4" t="s">
        <v>1014</v>
      </c>
      <c r="J246" s="217" t="s">
        <v>1540</v>
      </c>
      <c r="K246" s="21">
        <v>17055</v>
      </c>
      <c r="L246" s="23">
        <f t="shared" si="32"/>
        <v>70</v>
      </c>
      <c r="M246" s="23">
        <f t="shared" si="38"/>
        <v>86.4</v>
      </c>
      <c r="N246" s="8" t="str">
        <f ca="1" t="shared" si="33"/>
        <v> </v>
      </c>
      <c r="O246" s="8" t="str">
        <f t="shared" si="37"/>
        <v> </v>
      </c>
      <c r="P246" s="8" t="s">
        <v>1540</v>
      </c>
      <c r="Q246" s="2" t="s">
        <v>1745</v>
      </c>
      <c r="R246" s="3">
        <v>1180</v>
      </c>
      <c r="S246" s="2" t="s">
        <v>546</v>
      </c>
      <c r="T246" s="2" t="s">
        <v>355</v>
      </c>
      <c r="U246" s="2"/>
      <c r="V246" s="9">
        <v>16.4</v>
      </c>
      <c r="W246" s="5">
        <f t="shared" si="34"/>
        <v>0</v>
      </c>
      <c r="X246" s="6">
        <f t="shared" si="35"/>
        <v>0</v>
      </c>
    </row>
    <row r="247" spans="1:24" ht="12">
      <c r="A247" s="2" t="s">
        <v>1093</v>
      </c>
      <c r="B247" s="196" t="s">
        <v>1407</v>
      </c>
      <c r="C247" s="2" t="s">
        <v>1420</v>
      </c>
      <c r="D247" s="2" t="str">
        <f t="shared" si="30"/>
        <v>Ruth OREN </v>
      </c>
      <c r="E247" s="2" t="str">
        <f t="shared" si="31"/>
        <v>OREN  Ruth</v>
      </c>
      <c r="F247" s="9">
        <v>11.7</v>
      </c>
      <c r="G247" s="9" t="s">
        <v>84</v>
      </c>
      <c r="H247" s="214">
        <v>703109</v>
      </c>
      <c r="I247" s="4" t="s">
        <v>1015</v>
      </c>
      <c r="J247" s="217" t="s">
        <v>1540</v>
      </c>
      <c r="K247" s="21">
        <v>19782</v>
      </c>
      <c r="L247" s="23">
        <f t="shared" si="32"/>
        <v>63</v>
      </c>
      <c r="M247" s="23">
        <f t="shared" si="38"/>
        <v>74.7</v>
      </c>
      <c r="N247" s="8" t="str">
        <f ca="1" t="shared" si="33"/>
        <v> </v>
      </c>
      <c r="O247" s="8" t="str">
        <f t="shared" si="37"/>
        <v> </v>
      </c>
      <c r="P247" s="8"/>
      <c r="Q247" s="2" t="s">
        <v>244</v>
      </c>
      <c r="R247" s="3">
        <v>1180</v>
      </c>
      <c r="S247" s="2" t="s">
        <v>546</v>
      </c>
      <c r="T247" s="2"/>
      <c r="U247" s="2" t="s">
        <v>475</v>
      </c>
      <c r="V247" s="9">
        <v>11.7</v>
      </c>
      <c r="W247" s="5">
        <f t="shared" si="34"/>
        <v>0</v>
      </c>
      <c r="X247" s="6">
        <f t="shared" si="35"/>
        <v>0</v>
      </c>
    </row>
    <row r="248" spans="1:24" ht="12">
      <c r="A248" s="2" t="s">
        <v>1093</v>
      </c>
      <c r="B248" s="196" t="s">
        <v>1408</v>
      </c>
      <c r="C248" s="2" t="s">
        <v>1421</v>
      </c>
      <c r="D248" s="2" t="str">
        <f t="shared" si="30"/>
        <v>Anna PARIS </v>
      </c>
      <c r="E248" s="2" t="str">
        <f t="shared" si="31"/>
        <v>PARIS  Anna</v>
      </c>
      <c r="F248" s="9">
        <v>21.9</v>
      </c>
      <c r="G248" s="9" t="s">
        <v>84</v>
      </c>
      <c r="H248" s="214">
        <v>227888</v>
      </c>
      <c r="I248" s="4" t="s">
        <v>1016</v>
      </c>
      <c r="J248" s="217" t="s">
        <v>1540</v>
      </c>
      <c r="K248" s="21">
        <v>17987</v>
      </c>
      <c r="L248" s="23">
        <f t="shared" si="32"/>
        <v>68</v>
      </c>
      <c r="M248" s="23">
        <f t="shared" si="38"/>
        <v>89.9</v>
      </c>
      <c r="N248" s="8" t="str">
        <f ca="1" t="shared" si="33"/>
        <v> </v>
      </c>
      <c r="O248" s="8" t="str">
        <f t="shared" si="37"/>
        <v> </v>
      </c>
      <c r="P248" s="8"/>
      <c r="Q248" s="2" t="s">
        <v>245</v>
      </c>
      <c r="R248" s="3">
        <v>1050</v>
      </c>
      <c r="S248" s="2" t="s">
        <v>546</v>
      </c>
      <c r="T248" s="2"/>
      <c r="U248" s="2" t="s">
        <v>740</v>
      </c>
      <c r="V248" s="9">
        <v>21.9</v>
      </c>
      <c r="W248" s="5">
        <f t="shared" si="34"/>
        <v>0</v>
      </c>
      <c r="X248" s="6">
        <f t="shared" si="35"/>
        <v>0</v>
      </c>
    </row>
    <row r="249" spans="1:24" ht="12">
      <c r="A249" s="2" t="s">
        <v>1093</v>
      </c>
      <c r="B249" s="196" t="s">
        <v>1409</v>
      </c>
      <c r="C249" s="2" t="s">
        <v>1422</v>
      </c>
      <c r="D249" s="2" t="str">
        <f t="shared" si="30"/>
        <v>Sonia PARRA</v>
      </c>
      <c r="E249" s="2" t="str">
        <f t="shared" si="31"/>
        <v>PARRA Sonia</v>
      </c>
      <c r="F249" s="9">
        <v>7.7</v>
      </c>
      <c r="G249" s="9" t="s">
        <v>84</v>
      </c>
      <c r="H249" s="214">
        <v>227610</v>
      </c>
      <c r="I249" s="4" t="s">
        <v>1021</v>
      </c>
      <c r="J249" s="217" t="s">
        <v>1540</v>
      </c>
      <c r="K249" s="21">
        <v>20630</v>
      </c>
      <c r="L249" s="23">
        <f t="shared" si="32"/>
        <v>60</v>
      </c>
      <c r="M249" s="23">
        <f t="shared" si="38"/>
        <v>67.7</v>
      </c>
      <c r="N249" s="8" t="str">
        <f ca="1" t="shared" si="33"/>
        <v> </v>
      </c>
      <c r="O249" s="8" t="str">
        <f t="shared" si="37"/>
        <v> </v>
      </c>
      <c r="P249" s="8"/>
      <c r="Q249" s="2" t="s">
        <v>249</v>
      </c>
      <c r="R249" s="3">
        <v>1420</v>
      </c>
      <c r="S249" s="2" t="s">
        <v>535</v>
      </c>
      <c r="T249" s="2" t="s">
        <v>1994</v>
      </c>
      <c r="U249" s="2" t="s">
        <v>359</v>
      </c>
      <c r="V249" s="9">
        <v>7.7</v>
      </c>
      <c r="W249" s="5">
        <f t="shared" si="34"/>
        <v>0</v>
      </c>
      <c r="X249" s="6">
        <f t="shared" si="35"/>
        <v>0</v>
      </c>
    </row>
    <row r="250" spans="1:24" ht="12">
      <c r="A250" s="2" t="s">
        <v>1093</v>
      </c>
      <c r="B250" s="196" t="s">
        <v>1349</v>
      </c>
      <c r="C250" s="2" t="s">
        <v>1423</v>
      </c>
      <c r="D250" s="2" t="str">
        <f t="shared" si="30"/>
        <v>Christine PASINI </v>
      </c>
      <c r="E250" s="2" t="str">
        <f t="shared" si="31"/>
        <v>PASINI  Christine</v>
      </c>
      <c r="F250" s="9">
        <v>22.5</v>
      </c>
      <c r="G250" s="9" t="s">
        <v>84</v>
      </c>
      <c r="H250" s="214">
        <v>273764</v>
      </c>
      <c r="I250" s="4" t="s">
        <v>1017</v>
      </c>
      <c r="J250" s="217" t="s">
        <v>1540</v>
      </c>
      <c r="K250" s="21">
        <v>18637</v>
      </c>
      <c r="L250" s="23">
        <f t="shared" si="32"/>
        <v>66</v>
      </c>
      <c r="M250" s="23">
        <f t="shared" si="38"/>
        <v>88.5</v>
      </c>
      <c r="N250" s="8" t="str">
        <f ca="1" t="shared" si="33"/>
        <v> </v>
      </c>
      <c r="O250" s="8" t="str">
        <f t="shared" si="37"/>
        <v> </v>
      </c>
      <c r="P250" s="8"/>
      <c r="Q250" s="2" t="s">
        <v>246</v>
      </c>
      <c r="R250" s="3">
        <v>1410</v>
      </c>
      <c r="S250" s="2" t="s">
        <v>534</v>
      </c>
      <c r="T250" s="2"/>
      <c r="U250" s="2" t="s">
        <v>413</v>
      </c>
      <c r="V250" s="9">
        <v>22.5</v>
      </c>
      <c r="W250" s="5">
        <f t="shared" si="34"/>
        <v>0</v>
      </c>
      <c r="X250" s="6">
        <f t="shared" si="35"/>
        <v>0</v>
      </c>
    </row>
    <row r="251" spans="1:24" ht="12">
      <c r="A251" s="2" t="s">
        <v>1093</v>
      </c>
      <c r="B251" s="196" t="s">
        <v>1263</v>
      </c>
      <c r="C251" s="2" t="s">
        <v>1424</v>
      </c>
      <c r="D251" s="2" t="str">
        <f t="shared" si="30"/>
        <v>Claire PAUWELS</v>
      </c>
      <c r="E251" s="2" t="str">
        <f t="shared" si="31"/>
        <v>PAUWELS Claire</v>
      </c>
      <c r="F251" s="9">
        <v>24</v>
      </c>
      <c r="G251" s="9" t="s">
        <v>84</v>
      </c>
      <c r="H251" s="214">
        <v>227591</v>
      </c>
      <c r="I251" s="4" t="s">
        <v>1018</v>
      </c>
      <c r="J251" s="217" t="s">
        <v>1540</v>
      </c>
      <c r="K251" s="21">
        <v>13865</v>
      </c>
      <c r="L251" s="23">
        <f t="shared" si="32"/>
        <v>79</v>
      </c>
      <c r="M251" s="23">
        <f t="shared" si="38"/>
        <v>103</v>
      </c>
      <c r="N251" s="8" t="str">
        <f ca="1" t="shared" si="33"/>
        <v> </v>
      </c>
      <c r="O251" s="8" t="str">
        <f t="shared" si="37"/>
        <v> </v>
      </c>
      <c r="P251" s="8" t="s">
        <v>1540</v>
      </c>
      <c r="Q251" s="2" t="s">
        <v>247</v>
      </c>
      <c r="R251" s="3">
        <v>1180</v>
      </c>
      <c r="S251" s="2" t="s">
        <v>546</v>
      </c>
      <c r="T251" s="2" t="s">
        <v>356</v>
      </c>
      <c r="U251" s="2" t="s">
        <v>603</v>
      </c>
      <c r="V251" s="9">
        <v>24</v>
      </c>
      <c r="W251" s="5">
        <f t="shared" si="34"/>
        <v>0</v>
      </c>
      <c r="X251" s="6">
        <f t="shared" si="35"/>
        <v>0</v>
      </c>
    </row>
    <row r="252" spans="1:24" ht="12">
      <c r="A252" s="2" t="s">
        <v>1092</v>
      </c>
      <c r="B252" s="196" t="s">
        <v>1410</v>
      </c>
      <c r="C252" s="2" t="s">
        <v>1424</v>
      </c>
      <c r="D252" s="2" t="str">
        <f t="shared" si="30"/>
        <v>Dany PAUWELS</v>
      </c>
      <c r="E252" s="2" t="str">
        <f t="shared" si="31"/>
        <v>PAUWELS Dany</v>
      </c>
      <c r="F252" s="9">
        <v>26.4</v>
      </c>
      <c r="G252" s="9" t="s">
        <v>84</v>
      </c>
      <c r="H252" s="214">
        <v>227590</v>
      </c>
      <c r="I252" s="4" t="s">
        <v>1019</v>
      </c>
      <c r="J252" s="217" t="s">
        <v>1540</v>
      </c>
      <c r="K252" s="21">
        <v>13902</v>
      </c>
      <c r="L252" s="23">
        <f t="shared" si="32"/>
        <v>79</v>
      </c>
      <c r="M252" s="23">
        <f t="shared" si="38"/>
        <v>105.4</v>
      </c>
      <c r="N252" s="8" t="str">
        <f ca="1" t="shared" si="33"/>
        <v> </v>
      </c>
      <c r="O252" s="8" t="str">
        <f t="shared" si="37"/>
        <v> </v>
      </c>
      <c r="P252" s="8" t="s">
        <v>1540</v>
      </c>
      <c r="Q252" s="2" t="s">
        <v>247</v>
      </c>
      <c r="R252" s="3">
        <v>1180</v>
      </c>
      <c r="S252" s="2" t="s">
        <v>546</v>
      </c>
      <c r="T252" s="2" t="s">
        <v>356</v>
      </c>
      <c r="U252" s="2" t="s">
        <v>357</v>
      </c>
      <c r="V252" s="9">
        <v>26.4</v>
      </c>
      <c r="W252" s="5">
        <f t="shared" si="34"/>
        <v>0</v>
      </c>
      <c r="X252" s="6">
        <f t="shared" si="35"/>
        <v>0</v>
      </c>
    </row>
    <row r="253" spans="1:24" ht="12">
      <c r="A253" s="2" t="s">
        <v>1092</v>
      </c>
      <c r="B253" s="196" t="s">
        <v>1264</v>
      </c>
      <c r="C253" s="2" t="s">
        <v>1424</v>
      </c>
      <c r="D253" s="2" t="str">
        <f t="shared" si="30"/>
        <v>Louis PAUWELS</v>
      </c>
      <c r="E253" s="2" t="str">
        <f t="shared" si="31"/>
        <v>PAUWELS Louis</v>
      </c>
      <c r="F253" s="9">
        <v>34.5</v>
      </c>
      <c r="G253" s="9" t="s">
        <v>84</v>
      </c>
      <c r="H253" s="214">
        <v>714021</v>
      </c>
      <c r="I253" s="4" t="s">
        <v>1985</v>
      </c>
      <c r="J253" s="217" t="s">
        <v>1540</v>
      </c>
      <c r="K253" s="21">
        <v>17850</v>
      </c>
      <c r="L253" s="23">
        <f t="shared" si="32"/>
        <v>68</v>
      </c>
      <c r="M253" s="23">
        <f t="shared" si="38"/>
        <v>102.5</v>
      </c>
      <c r="N253" s="8" t="str">
        <f ca="1" t="shared" si="33"/>
        <v> </v>
      </c>
      <c r="O253" s="8" t="str">
        <f t="shared" si="37"/>
        <v> </v>
      </c>
      <c r="P253" s="8" t="s">
        <v>1540</v>
      </c>
      <c r="Q253" s="2" t="s">
        <v>1995</v>
      </c>
      <c r="R253" s="3">
        <v>1652</v>
      </c>
      <c r="S253" s="2" t="s">
        <v>542</v>
      </c>
      <c r="T253" s="2"/>
      <c r="U253" s="2" t="s">
        <v>1996</v>
      </c>
      <c r="V253" s="9">
        <v>34.5</v>
      </c>
      <c r="W253" s="5">
        <f t="shared" si="34"/>
        <v>0</v>
      </c>
      <c r="X253" s="6">
        <f t="shared" si="35"/>
        <v>0</v>
      </c>
    </row>
    <row r="254" spans="1:24" ht="12">
      <c r="A254" s="2" t="s">
        <v>1092</v>
      </c>
      <c r="B254" s="196" t="s">
        <v>1411</v>
      </c>
      <c r="C254" s="2" t="s">
        <v>1425</v>
      </c>
      <c r="D254" s="2" t="str">
        <f t="shared" si="30"/>
        <v>Hans PERDOK</v>
      </c>
      <c r="E254" s="2" t="str">
        <f t="shared" si="31"/>
        <v>PERDOK Hans</v>
      </c>
      <c r="F254" s="9">
        <v>28.2</v>
      </c>
      <c r="G254" s="9" t="s">
        <v>84</v>
      </c>
      <c r="H254" s="214">
        <v>1006668</v>
      </c>
      <c r="I254" s="4" t="s">
        <v>1922</v>
      </c>
      <c r="J254" s="217" t="s">
        <v>1540</v>
      </c>
      <c r="K254" s="21">
        <v>17701</v>
      </c>
      <c r="L254" s="23">
        <f t="shared" si="32"/>
        <v>69</v>
      </c>
      <c r="M254" s="23">
        <f t="shared" si="38"/>
        <v>97.2</v>
      </c>
      <c r="N254" s="8" t="str">
        <f ca="1" t="shared" si="33"/>
        <v> </v>
      </c>
      <c r="O254" s="8" t="str">
        <f t="shared" si="37"/>
        <v> </v>
      </c>
      <c r="P254" s="8"/>
      <c r="Q254" s="2" t="s">
        <v>1117</v>
      </c>
      <c r="R254" s="3">
        <v>1410</v>
      </c>
      <c r="S254" s="2" t="s">
        <v>534</v>
      </c>
      <c r="T254" s="2" t="s">
        <v>1118</v>
      </c>
      <c r="U254" s="2" t="s">
        <v>1119</v>
      </c>
      <c r="V254" s="9">
        <v>28.2</v>
      </c>
      <c r="W254" s="5">
        <f t="shared" si="34"/>
        <v>0</v>
      </c>
      <c r="X254" s="6">
        <f t="shared" si="35"/>
        <v>0</v>
      </c>
    </row>
    <row r="255" spans="1:24" ht="12">
      <c r="A255" s="2" t="s">
        <v>1093</v>
      </c>
      <c r="B255" s="196" t="s">
        <v>1198</v>
      </c>
      <c r="C255" s="2" t="s">
        <v>15</v>
      </c>
      <c r="D255" s="2" t="str">
        <f t="shared" si="30"/>
        <v>Micheline PETIT</v>
      </c>
      <c r="E255" s="2" t="str">
        <f t="shared" si="31"/>
        <v>PETIT Micheline</v>
      </c>
      <c r="F255" s="9">
        <v>21.3</v>
      </c>
      <c r="G255" s="9" t="s">
        <v>84</v>
      </c>
      <c r="H255" s="214">
        <v>227609</v>
      </c>
      <c r="I255" s="4" t="s">
        <v>20</v>
      </c>
      <c r="J255" s="217" t="s">
        <v>1540</v>
      </c>
      <c r="K255" s="21">
        <v>14096</v>
      </c>
      <c r="L255" s="23">
        <f t="shared" si="32"/>
        <v>78</v>
      </c>
      <c r="M255" s="23">
        <f t="shared" si="38"/>
        <v>99.3</v>
      </c>
      <c r="N255" s="8" t="str">
        <f ca="1" t="shared" si="33"/>
        <v> </v>
      </c>
      <c r="O255" s="8" t="str">
        <f t="shared" si="37"/>
        <v> </v>
      </c>
      <c r="P255" s="8" t="s">
        <v>135</v>
      </c>
      <c r="Q255" s="2" t="s">
        <v>21</v>
      </c>
      <c r="R255" s="3">
        <v>1410</v>
      </c>
      <c r="S255" s="2" t="s">
        <v>534</v>
      </c>
      <c r="T255" s="2" t="s">
        <v>22</v>
      </c>
      <c r="U255" s="2" t="s">
        <v>23</v>
      </c>
      <c r="V255" s="9">
        <v>21.3</v>
      </c>
      <c r="W255" s="5">
        <f t="shared" si="34"/>
        <v>0</v>
      </c>
      <c r="X255" s="6">
        <f t="shared" si="35"/>
        <v>0</v>
      </c>
    </row>
    <row r="256" spans="1:24" ht="12">
      <c r="A256" s="2" t="s">
        <v>1093</v>
      </c>
      <c r="B256" s="196" t="s">
        <v>1412</v>
      </c>
      <c r="C256" s="2" t="s">
        <v>1426</v>
      </c>
      <c r="D256" s="2" t="str">
        <f t="shared" si="30"/>
        <v>Monique PIERRARD </v>
      </c>
      <c r="E256" s="2" t="str">
        <f t="shared" si="31"/>
        <v>PIERRARD  Monique</v>
      </c>
      <c r="F256" s="9">
        <v>19.2</v>
      </c>
      <c r="G256" s="9" t="s">
        <v>84</v>
      </c>
      <c r="H256" s="214">
        <v>227614</v>
      </c>
      <c r="I256" s="4" t="s">
        <v>1022</v>
      </c>
      <c r="J256" s="217" t="s">
        <v>1540</v>
      </c>
      <c r="K256" s="21">
        <v>19221</v>
      </c>
      <c r="L256" s="23">
        <f t="shared" si="32"/>
        <v>64</v>
      </c>
      <c r="M256" s="23">
        <f t="shared" si="38"/>
        <v>83.2</v>
      </c>
      <c r="N256" s="8" t="str">
        <f ca="1" t="shared" si="33"/>
        <v> </v>
      </c>
      <c r="O256" s="8" t="str">
        <f t="shared" si="37"/>
        <v> </v>
      </c>
      <c r="P256" s="8" t="s">
        <v>1540</v>
      </c>
      <c r="Q256" s="2" t="s">
        <v>42</v>
      </c>
      <c r="R256" s="3">
        <v>1180</v>
      </c>
      <c r="S256" s="2" t="s">
        <v>546</v>
      </c>
      <c r="T256" s="2" t="s">
        <v>43</v>
      </c>
      <c r="U256" s="2" t="s">
        <v>360</v>
      </c>
      <c r="V256" s="9">
        <v>19.2</v>
      </c>
      <c r="W256" s="5">
        <f t="shared" si="34"/>
        <v>0</v>
      </c>
      <c r="X256" s="6">
        <f t="shared" si="35"/>
        <v>0</v>
      </c>
    </row>
    <row r="257" spans="1:24" ht="12">
      <c r="A257" s="2" t="s">
        <v>1093</v>
      </c>
      <c r="B257" s="196" t="s">
        <v>1201</v>
      </c>
      <c r="C257" s="2" t="s">
        <v>1427</v>
      </c>
      <c r="D257" s="2" t="str">
        <f t="shared" si="30"/>
        <v>Thérèse PLUMEREL</v>
      </c>
      <c r="E257" s="2" t="str">
        <f t="shared" si="31"/>
        <v>PLUMEREL Thérèse</v>
      </c>
      <c r="F257" s="9">
        <v>23.2</v>
      </c>
      <c r="G257" s="9" t="s">
        <v>84</v>
      </c>
      <c r="H257" s="214">
        <v>227622</v>
      </c>
      <c r="I257" s="4" t="s">
        <v>1023</v>
      </c>
      <c r="J257" s="217" t="s">
        <v>1540</v>
      </c>
      <c r="K257" s="21">
        <v>18775</v>
      </c>
      <c r="L257" s="23">
        <f t="shared" si="32"/>
        <v>66</v>
      </c>
      <c r="M257" s="23">
        <f t="shared" si="38"/>
        <v>89.2</v>
      </c>
      <c r="N257" s="8" t="str">
        <f ca="1" t="shared" si="33"/>
        <v> </v>
      </c>
      <c r="O257" s="8" t="str">
        <f t="shared" si="37"/>
        <v> </v>
      </c>
      <c r="P257" s="8" t="s">
        <v>1540</v>
      </c>
      <c r="Q257" s="2" t="s">
        <v>251</v>
      </c>
      <c r="R257" s="3">
        <v>1420</v>
      </c>
      <c r="S257" s="2" t="s">
        <v>535</v>
      </c>
      <c r="T257" s="2" t="s">
        <v>545</v>
      </c>
      <c r="U257" s="2" t="s">
        <v>479</v>
      </c>
      <c r="V257" s="9">
        <v>23.2</v>
      </c>
      <c r="W257" s="5">
        <f t="shared" si="34"/>
        <v>0</v>
      </c>
      <c r="X257" s="6">
        <f t="shared" si="35"/>
        <v>0</v>
      </c>
    </row>
    <row r="258" spans="1:24" ht="12">
      <c r="A258" s="2" t="s">
        <v>1093</v>
      </c>
      <c r="B258" s="196" t="s">
        <v>1413</v>
      </c>
      <c r="C258" s="2" t="s">
        <v>1428</v>
      </c>
      <c r="D258" s="2" t="str">
        <f aca="true" t="shared" si="39" ref="D258:D321">B258&amp;" "&amp;C258</f>
        <v>Huguette POLL </v>
      </c>
      <c r="E258" s="2" t="str">
        <f aca="true" t="shared" si="40" ref="E258:E321">C258&amp;" "&amp;B258</f>
        <v>POLL  Huguette</v>
      </c>
      <c r="F258" s="9">
        <v>26.1</v>
      </c>
      <c r="G258" s="9" t="s">
        <v>83</v>
      </c>
      <c r="H258" s="214">
        <v>227624</v>
      </c>
      <c r="I258" s="4" t="s">
        <v>1024</v>
      </c>
      <c r="J258" s="217" t="s">
        <v>1540</v>
      </c>
      <c r="K258" s="21">
        <v>14334</v>
      </c>
      <c r="L258" s="23">
        <f aca="true" t="shared" si="41" ref="L258:L320">YEAR(jourdhui)-YEAR(K258)-IF(MONTH(K258)&gt;MONTH(jourdhui),1,0)-(IF(MONTH(K258)=MONTH(jourdhui),1,0)*IF(DAY(K258)&gt;DAY(jourdhui),1,0))</f>
        <v>78</v>
      </c>
      <c r="M258" s="23">
        <f t="shared" si="38"/>
        <v>104.1</v>
      </c>
      <c r="N258" s="8" t="str">
        <f aca="true" ca="1" t="shared" si="42" ref="N258:N321">IF((IF(DAY(K258)=DAY(TODAY()),1,0)+IF(MONTH(K258)=MONTH(TODAY()),1,0))=2,"y"," ")</f>
        <v> </v>
      </c>
      <c r="O258" s="8" t="str">
        <f t="shared" si="37"/>
        <v> </v>
      </c>
      <c r="P258" s="8" t="s">
        <v>1540</v>
      </c>
      <c r="Q258" s="2" t="s">
        <v>1824</v>
      </c>
      <c r="R258" s="3">
        <v>1180</v>
      </c>
      <c r="S258" s="2" t="s">
        <v>546</v>
      </c>
      <c r="T258" s="2" t="s">
        <v>608</v>
      </c>
      <c r="U258" s="2" t="s">
        <v>669</v>
      </c>
      <c r="V258" s="9">
        <v>26.1</v>
      </c>
      <c r="W258" s="5">
        <f aca="true" t="shared" si="43" ref="W258:W321">F258-V258</f>
        <v>0</v>
      </c>
      <c r="X258" s="6">
        <f aca="true" t="shared" si="44" ref="X258:X321">(V258-F258)/V258</f>
        <v>0</v>
      </c>
    </row>
    <row r="259" spans="1:24" ht="12">
      <c r="A259" s="2" t="s">
        <v>1093</v>
      </c>
      <c r="B259" s="196" t="s">
        <v>1414</v>
      </c>
      <c r="C259" s="2" t="s">
        <v>1429</v>
      </c>
      <c r="D259" s="2" t="str">
        <f t="shared" si="39"/>
        <v>Gisèle PRIZZON</v>
      </c>
      <c r="E259" s="2" t="str">
        <f t="shared" si="40"/>
        <v>PRIZZON Gisèle</v>
      </c>
      <c r="F259" s="9">
        <v>24.1</v>
      </c>
      <c r="G259" s="9" t="s">
        <v>84</v>
      </c>
      <c r="H259" s="214">
        <v>227636</v>
      </c>
      <c r="I259" s="4" t="s">
        <v>1025</v>
      </c>
      <c r="J259" s="217" t="s">
        <v>1540</v>
      </c>
      <c r="K259" s="21">
        <v>18474</v>
      </c>
      <c r="L259" s="23">
        <f t="shared" si="41"/>
        <v>66</v>
      </c>
      <c r="M259" s="23">
        <f t="shared" si="38"/>
        <v>90.1</v>
      </c>
      <c r="N259" s="8" t="str">
        <f ca="1" t="shared" si="42"/>
        <v> </v>
      </c>
      <c r="O259" s="8" t="str">
        <f t="shared" si="37"/>
        <v> </v>
      </c>
      <c r="P259" s="8" t="s">
        <v>1540</v>
      </c>
      <c r="Q259" s="2" t="s">
        <v>252</v>
      </c>
      <c r="R259" s="3">
        <v>1780</v>
      </c>
      <c r="S259" s="2" t="s">
        <v>350</v>
      </c>
      <c r="T259" s="2" t="s">
        <v>100</v>
      </c>
      <c r="U259" s="2" t="s">
        <v>728</v>
      </c>
      <c r="V259" s="9">
        <v>24.1</v>
      </c>
      <c r="W259" s="5">
        <f t="shared" si="43"/>
        <v>0</v>
      </c>
      <c r="X259" s="6">
        <f t="shared" si="44"/>
        <v>0</v>
      </c>
    </row>
    <row r="260" spans="1:24" ht="12">
      <c r="A260" s="2" t="s">
        <v>1092</v>
      </c>
      <c r="B260" s="196" t="s">
        <v>1146</v>
      </c>
      <c r="C260" s="2" t="s">
        <v>1429</v>
      </c>
      <c r="D260" s="2" t="str">
        <f t="shared" si="39"/>
        <v>Michel PRIZZON</v>
      </c>
      <c r="E260" s="2" t="str">
        <f t="shared" si="40"/>
        <v>PRIZZON Michel</v>
      </c>
      <c r="F260" s="9">
        <v>20.9</v>
      </c>
      <c r="G260" s="9" t="s">
        <v>84</v>
      </c>
      <c r="H260" s="214">
        <v>227635</v>
      </c>
      <c r="I260" s="4" t="s">
        <v>1757</v>
      </c>
      <c r="J260" s="217" t="s">
        <v>1540</v>
      </c>
      <c r="K260" s="21">
        <v>17578</v>
      </c>
      <c r="L260" s="23">
        <f t="shared" si="41"/>
        <v>69</v>
      </c>
      <c r="M260" s="23">
        <f t="shared" si="38"/>
        <v>89.9</v>
      </c>
      <c r="N260" s="8" t="str">
        <f ca="1" t="shared" si="42"/>
        <v> </v>
      </c>
      <c r="O260" s="8" t="str">
        <f t="shared" si="37"/>
        <v> </v>
      </c>
      <c r="P260" s="8" t="s">
        <v>1540</v>
      </c>
      <c r="Q260" s="2" t="s">
        <v>252</v>
      </c>
      <c r="R260" s="3">
        <v>1780</v>
      </c>
      <c r="S260" s="2" t="s">
        <v>350</v>
      </c>
      <c r="T260" s="2" t="s">
        <v>715</v>
      </c>
      <c r="U260" s="2" t="s">
        <v>716</v>
      </c>
      <c r="V260" s="9">
        <v>20.9</v>
      </c>
      <c r="W260" s="5">
        <f t="shared" si="43"/>
        <v>0</v>
      </c>
      <c r="X260" s="6">
        <f t="shared" si="44"/>
        <v>0</v>
      </c>
    </row>
    <row r="261" spans="1:24" ht="12">
      <c r="A261" s="2" t="s">
        <v>1093</v>
      </c>
      <c r="B261" s="196" t="s">
        <v>1198</v>
      </c>
      <c r="C261" s="2" t="s">
        <v>1430</v>
      </c>
      <c r="D261" s="2" t="str">
        <f t="shared" si="39"/>
        <v>Micheline PROSMAN</v>
      </c>
      <c r="E261" s="2" t="str">
        <f t="shared" si="40"/>
        <v>PROSMAN Micheline</v>
      </c>
      <c r="F261" s="9">
        <v>26.7000007629394</v>
      </c>
      <c r="G261" s="9" t="s">
        <v>83</v>
      </c>
      <c r="H261" s="214">
        <v>227638</v>
      </c>
      <c r="I261" s="4" t="s">
        <v>1026</v>
      </c>
      <c r="J261" s="217" t="s">
        <v>1540</v>
      </c>
      <c r="K261" s="21">
        <v>12685</v>
      </c>
      <c r="L261" s="23">
        <f t="shared" si="41"/>
        <v>82</v>
      </c>
      <c r="M261" s="23">
        <f t="shared" si="38"/>
        <v>108.7000007629394</v>
      </c>
      <c r="N261" s="8" t="str">
        <f ca="1" t="shared" si="42"/>
        <v> </v>
      </c>
      <c r="O261" s="8" t="str">
        <f t="shared" si="37"/>
        <v> </v>
      </c>
      <c r="P261" s="8" t="s">
        <v>1540</v>
      </c>
      <c r="Q261" s="2" t="s">
        <v>253</v>
      </c>
      <c r="R261" s="3">
        <v>1640</v>
      </c>
      <c r="S261" s="2" t="s">
        <v>345</v>
      </c>
      <c r="T261" s="2" t="s">
        <v>609</v>
      </c>
      <c r="U261" s="2" t="s">
        <v>412</v>
      </c>
      <c r="V261" s="9">
        <v>26.7000007629394</v>
      </c>
      <c r="W261" s="5">
        <f t="shared" si="43"/>
        <v>0</v>
      </c>
      <c r="X261" s="6">
        <f t="shared" si="44"/>
        <v>0</v>
      </c>
    </row>
    <row r="262" spans="1:24" ht="12">
      <c r="A262" s="2" t="s">
        <v>1093</v>
      </c>
      <c r="B262" s="196" t="s">
        <v>1406</v>
      </c>
      <c r="C262" s="2" t="s">
        <v>1431</v>
      </c>
      <c r="D262" s="2" t="str">
        <f t="shared" si="39"/>
        <v>Dominique QUAEYHAEGENS </v>
      </c>
      <c r="E262" s="2" t="str">
        <f t="shared" si="40"/>
        <v>QUAEYHAEGENS  Dominique</v>
      </c>
      <c r="F262" s="9">
        <v>30.5</v>
      </c>
      <c r="G262" s="9" t="s">
        <v>84</v>
      </c>
      <c r="H262" s="214">
        <v>227641</v>
      </c>
      <c r="I262" s="4" t="s">
        <v>1027</v>
      </c>
      <c r="J262" s="217" t="s">
        <v>1540</v>
      </c>
      <c r="K262" s="21">
        <v>17720</v>
      </c>
      <c r="L262" s="23">
        <f t="shared" si="41"/>
        <v>68</v>
      </c>
      <c r="M262" s="23">
        <f t="shared" si="38"/>
        <v>98.5</v>
      </c>
      <c r="N262" s="8" t="str">
        <f ca="1" t="shared" si="42"/>
        <v> </v>
      </c>
      <c r="O262" s="8" t="str">
        <f t="shared" si="37"/>
        <v> </v>
      </c>
      <c r="P262" s="8" t="s">
        <v>1540</v>
      </c>
      <c r="Q262" s="2" t="s">
        <v>254</v>
      </c>
      <c r="R262" s="3">
        <v>1420</v>
      </c>
      <c r="S262" s="2" t="s">
        <v>535</v>
      </c>
      <c r="T262" s="2" t="s">
        <v>610</v>
      </c>
      <c r="U262" s="2"/>
      <c r="V262" s="9">
        <v>30.5</v>
      </c>
      <c r="W262" s="5">
        <f t="shared" si="43"/>
        <v>0</v>
      </c>
      <c r="X262" s="6">
        <f t="shared" si="44"/>
        <v>0</v>
      </c>
    </row>
    <row r="263" spans="1:24" ht="12">
      <c r="A263" s="2" t="s">
        <v>1092</v>
      </c>
      <c r="B263" s="196" t="s">
        <v>1415</v>
      </c>
      <c r="C263" s="2" t="s">
        <v>1431</v>
      </c>
      <c r="D263" s="2" t="str">
        <f t="shared" si="39"/>
        <v>William QUAEYHAEGENS </v>
      </c>
      <c r="E263" s="2" t="str">
        <f t="shared" si="40"/>
        <v>QUAEYHAEGENS  William</v>
      </c>
      <c r="F263" s="9">
        <v>31.1</v>
      </c>
      <c r="G263" s="9" t="s">
        <v>84</v>
      </c>
      <c r="H263" s="214">
        <v>227640</v>
      </c>
      <c r="I263" s="4" t="s">
        <v>1028</v>
      </c>
      <c r="J263" s="217" t="s">
        <v>1540</v>
      </c>
      <c r="K263" s="21">
        <v>15686</v>
      </c>
      <c r="L263" s="23">
        <f t="shared" si="41"/>
        <v>74</v>
      </c>
      <c r="M263" s="23">
        <f t="shared" si="38"/>
        <v>105.1</v>
      </c>
      <c r="N263" s="8" t="str">
        <f ca="1" t="shared" si="42"/>
        <v> </v>
      </c>
      <c r="O263" s="8" t="str">
        <f t="shared" si="37"/>
        <v> </v>
      </c>
      <c r="P263" s="8" t="s">
        <v>1540</v>
      </c>
      <c r="Q263" s="2" t="s">
        <v>254</v>
      </c>
      <c r="R263" s="3">
        <v>1420</v>
      </c>
      <c r="S263" s="2" t="s">
        <v>535</v>
      </c>
      <c r="T263" s="2" t="s">
        <v>610</v>
      </c>
      <c r="U263" s="2"/>
      <c r="V263" s="9">
        <v>31.1</v>
      </c>
      <c r="W263" s="5">
        <f t="shared" si="43"/>
        <v>0</v>
      </c>
      <c r="X263" s="6">
        <f t="shared" si="44"/>
        <v>0</v>
      </c>
    </row>
    <row r="264" spans="1:24" ht="12">
      <c r="A264" s="2" t="s">
        <v>1092</v>
      </c>
      <c r="B264" s="196" t="s">
        <v>1792</v>
      </c>
      <c r="C264" s="2" t="s">
        <v>1432</v>
      </c>
      <c r="D264" s="2" t="str">
        <f t="shared" si="39"/>
        <v>Franz QUIX </v>
      </c>
      <c r="E264" s="2" t="str">
        <f t="shared" si="40"/>
        <v>QUIX  Franz</v>
      </c>
      <c r="F264" s="9">
        <v>30.2</v>
      </c>
      <c r="G264" s="9" t="s">
        <v>84</v>
      </c>
      <c r="H264" s="214">
        <v>227642</v>
      </c>
      <c r="I264" s="4" t="s">
        <v>1810</v>
      </c>
      <c r="J264" s="217"/>
      <c r="K264" s="21">
        <v>14780</v>
      </c>
      <c r="L264" s="23">
        <f t="shared" si="41"/>
        <v>77</v>
      </c>
      <c r="M264" s="23">
        <f t="shared" si="38"/>
        <v>107.2</v>
      </c>
      <c r="N264" s="8" t="str">
        <f ca="1" t="shared" si="42"/>
        <v>y</v>
      </c>
      <c r="O264" s="8" t="str">
        <f t="shared" si="37"/>
        <v> </v>
      </c>
      <c r="P264" s="8"/>
      <c r="Q264" s="2" t="s">
        <v>255</v>
      </c>
      <c r="R264" s="3">
        <v>1180</v>
      </c>
      <c r="S264" s="2" t="s">
        <v>546</v>
      </c>
      <c r="T264" s="2" t="s">
        <v>731</v>
      </c>
      <c r="U264" s="2" t="s">
        <v>1811</v>
      </c>
      <c r="V264" s="9">
        <v>30.2</v>
      </c>
      <c r="W264" s="5">
        <f t="shared" si="43"/>
        <v>0</v>
      </c>
      <c r="X264" s="6">
        <f t="shared" si="44"/>
        <v>0</v>
      </c>
    </row>
    <row r="265" spans="1:24" ht="12">
      <c r="A265" s="2" t="s">
        <v>1093</v>
      </c>
      <c r="B265" s="196" t="s">
        <v>1274</v>
      </c>
      <c r="C265" s="2" t="s">
        <v>1432</v>
      </c>
      <c r="D265" s="2" t="str">
        <f t="shared" si="39"/>
        <v>Yolande QUIX </v>
      </c>
      <c r="E265" s="2" t="str">
        <f t="shared" si="40"/>
        <v>QUIX  Yolande</v>
      </c>
      <c r="F265" s="9">
        <v>32</v>
      </c>
      <c r="G265" s="9" t="s">
        <v>84</v>
      </c>
      <c r="H265" s="214">
        <v>227643</v>
      </c>
      <c r="I265" s="4" t="s">
        <v>1029</v>
      </c>
      <c r="J265" s="217"/>
      <c r="K265" s="21">
        <v>16358</v>
      </c>
      <c r="L265" s="23">
        <f t="shared" si="41"/>
        <v>72</v>
      </c>
      <c r="M265" s="23">
        <f t="shared" si="38"/>
        <v>104</v>
      </c>
      <c r="N265" s="8" t="str">
        <f ca="1" t="shared" si="42"/>
        <v> </v>
      </c>
      <c r="O265" s="8" t="str">
        <f t="shared" si="37"/>
        <v> </v>
      </c>
      <c r="P265" s="8"/>
      <c r="Q265" s="2" t="s">
        <v>255</v>
      </c>
      <c r="R265" s="3">
        <v>1180</v>
      </c>
      <c r="S265" s="2" t="s">
        <v>546</v>
      </c>
      <c r="T265" s="2" t="s">
        <v>731</v>
      </c>
      <c r="U265" s="2" t="s">
        <v>732</v>
      </c>
      <c r="V265" s="9">
        <v>32</v>
      </c>
      <c r="W265" s="5">
        <f t="shared" si="43"/>
        <v>0</v>
      </c>
      <c r="X265" s="6">
        <f t="shared" si="44"/>
        <v>0</v>
      </c>
    </row>
    <row r="266" spans="1:24" ht="12">
      <c r="A266" s="2" t="s">
        <v>1092</v>
      </c>
      <c r="B266" s="196" t="s">
        <v>1416</v>
      </c>
      <c r="C266" s="2" t="s">
        <v>1433</v>
      </c>
      <c r="D266" s="2" t="str">
        <f t="shared" si="39"/>
        <v>Beau RAGBIR-MERCURI </v>
      </c>
      <c r="E266" s="2" t="str">
        <f t="shared" si="40"/>
        <v>RAGBIR-MERCURI  Beau</v>
      </c>
      <c r="F266" s="9">
        <v>21.3</v>
      </c>
      <c r="G266" s="9" t="s">
        <v>84</v>
      </c>
      <c r="H266" s="214">
        <v>704457</v>
      </c>
      <c r="I266" s="4" t="s">
        <v>1030</v>
      </c>
      <c r="J266" s="217" t="s">
        <v>1540</v>
      </c>
      <c r="K266" s="21">
        <v>16622</v>
      </c>
      <c r="L266" s="23">
        <f t="shared" si="41"/>
        <v>71</v>
      </c>
      <c r="M266" s="23">
        <f t="shared" si="38"/>
        <v>92.3</v>
      </c>
      <c r="N266" s="8" t="str">
        <f ca="1" t="shared" si="42"/>
        <v> </v>
      </c>
      <c r="O266" s="8" t="str">
        <f t="shared" si="37"/>
        <v> </v>
      </c>
      <c r="P266" s="8"/>
      <c r="Q266" s="2" t="s">
        <v>256</v>
      </c>
      <c r="R266" s="3">
        <v>1200</v>
      </c>
      <c r="S266" s="2" t="s">
        <v>546</v>
      </c>
      <c r="T266" s="2" t="s">
        <v>765</v>
      </c>
      <c r="U266" s="2" t="s">
        <v>766</v>
      </c>
      <c r="V266" s="9">
        <v>21.3</v>
      </c>
      <c r="W266" s="5">
        <f t="shared" si="43"/>
        <v>0</v>
      </c>
      <c r="X266" s="6">
        <f t="shared" si="44"/>
        <v>0</v>
      </c>
    </row>
    <row r="267" spans="1:24" ht="12">
      <c r="A267" s="2" t="s">
        <v>1092</v>
      </c>
      <c r="B267" s="196" t="s">
        <v>1253</v>
      </c>
      <c r="C267" s="2" t="s">
        <v>1754</v>
      </c>
      <c r="D267" s="2" t="str">
        <f t="shared" si="39"/>
        <v>Pierre RODESCH</v>
      </c>
      <c r="E267" s="2" t="str">
        <f t="shared" si="40"/>
        <v>RODESCH Pierre</v>
      </c>
      <c r="F267" s="9">
        <v>32.3</v>
      </c>
      <c r="G267" s="9" t="s">
        <v>84</v>
      </c>
      <c r="H267" s="214">
        <v>227674</v>
      </c>
      <c r="I267" s="4" t="s">
        <v>1805</v>
      </c>
      <c r="J267" s="217" t="s">
        <v>1540</v>
      </c>
      <c r="K267" s="21">
        <v>16028</v>
      </c>
      <c r="L267" s="23">
        <f t="shared" si="41"/>
        <v>73</v>
      </c>
      <c r="M267" s="23">
        <f t="shared" si="38"/>
        <v>105.3</v>
      </c>
      <c r="N267" s="8" t="str">
        <f ca="1" t="shared" si="42"/>
        <v> </v>
      </c>
      <c r="O267" s="8" t="str">
        <f t="shared" si="37"/>
        <v> </v>
      </c>
      <c r="P267" s="8"/>
      <c r="Q267" s="2" t="s">
        <v>1755</v>
      </c>
      <c r="R267" s="3">
        <v>1050</v>
      </c>
      <c r="S267" s="2" t="s">
        <v>546</v>
      </c>
      <c r="T267" s="2" t="s">
        <v>1876</v>
      </c>
      <c r="U267" s="2" t="s">
        <v>1809</v>
      </c>
      <c r="V267" s="9">
        <v>32.3</v>
      </c>
      <c r="W267" s="5">
        <f t="shared" si="43"/>
        <v>0</v>
      </c>
      <c r="X267" s="6">
        <f t="shared" si="44"/>
        <v>0</v>
      </c>
    </row>
    <row r="268" spans="1:24" ht="12">
      <c r="A268" s="2" t="s">
        <v>1093</v>
      </c>
      <c r="B268" s="196" t="s">
        <v>1300</v>
      </c>
      <c r="C268" s="2" t="s">
        <v>148</v>
      </c>
      <c r="D268" s="2" t="str">
        <f t="shared" si="39"/>
        <v>Mireille ROLLAND-SCOHY</v>
      </c>
      <c r="E268" s="2" t="str">
        <f t="shared" si="40"/>
        <v>ROLLAND-SCOHY Mireille</v>
      </c>
      <c r="F268" s="9">
        <v>22.9</v>
      </c>
      <c r="G268" s="9" t="s">
        <v>84</v>
      </c>
      <c r="H268" s="214">
        <v>227720</v>
      </c>
      <c r="I268" s="4" t="s">
        <v>1031</v>
      </c>
      <c r="J268" s="217" t="s">
        <v>1540</v>
      </c>
      <c r="K268" s="21">
        <v>14497</v>
      </c>
      <c r="L268" s="23">
        <f t="shared" si="41"/>
        <v>77</v>
      </c>
      <c r="M268" s="23">
        <f aca="true" t="shared" si="45" ref="M268:M299">L268+F268</f>
        <v>99.9</v>
      </c>
      <c r="N268" s="8" t="str">
        <f ca="1" t="shared" si="42"/>
        <v> </v>
      </c>
      <c r="O268" s="8" t="str">
        <f t="shared" si="37"/>
        <v> </v>
      </c>
      <c r="P268" s="8" t="s">
        <v>1540</v>
      </c>
      <c r="Q268" s="2" t="s">
        <v>257</v>
      </c>
      <c r="R268" s="3">
        <v>1050</v>
      </c>
      <c r="S268" s="2" t="s">
        <v>546</v>
      </c>
      <c r="T268" s="2" t="s">
        <v>611</v>
      </c>
      <c r="U268" s="2" t="s">
        <v>612</v>
      </c>
      <c r="V268" s="9">
        <v>22.9</v>
      </c>
      <c r="W268" s="5">
        <f t="shared" si="43"/>
        <v>0</v>
      </c>
      <c r="X268" s="6">
        <f t="shared" si="44"/>
        <v>0</v>
      </c>
    </row>
    <row r="269" spans="1:24" ht="12">
      <c r="A269" s="2" t="s">
        <v>1093</v>
      </c>
      <c r="B269" s="196" t="s">
        <v>1856</v>
      </c>
      <c r="C269" s="2" t="s">
        <v>1855</v>
      </c>
      <c r="D269" s="2" t="str">
        <f t="shared" si="39"/>
        <v>Annik SAMPERS</v>
      </c>
      <c r="E269" s="2" t="str">
        <f t="shared" si="40"/>
        <v>SAMPERS Annik</v>
      </c>
      <c r="F269" s="9">
        <v>6.2</v>
      </c>
      <c r="G269" s="9" t="s">
        <v>84</v>
      </c>
      <c r="H269" s="214">
        <v>260943</v>
      </c>
      <c r="I269" s="4" t="s">
        <v>1862</v>
      </c>
      <c r="J269" s="217"/>
      <c r="K269" s="21">
        <v>22616</v>
      </c>
      <c r="L269" s="23">
        <f t="shared" si="41"/>
        <v>55</v>
      </c>
      <c r="M269" s="23">
        <f t="shared" si="45"/>
        <v>61.2</v>
      </c>
      <c r="N269" s="8" t="str">
        <f ca="1" t="shared" si="42"/>
        <v> </v>
      </c>
      <c r="O269" s="8" t="str">
        <f t="shared" si="37"/>
        <v> </v>
      </c>
      <c r="P269" s="8"/>
      <c r="Q269" s="2" t="s">
        <v>1863</v>
      </c>
      <c r="R269" s="3">
        <v>2970</v>
      </c>
      <c r="S269" s="2" t="s">
        <v>1864</v>
      </c>
      <c r="T269" s="2"/>
      <c r="U269" s="2" t="s">
        <v>1865</v>
      </c>
      <c r="V269" s="9">
        <v>6.2</v>
      </c>
      <c r="W269" s="5">
        <f t="shared" si="43"/>
        <v>0</v>
      </c>
      <c r="X269" s="6">
        <f t="shared" si="44"/>
        <v>0</v>
      </c>
    </row>
    <row r="270" spans="1:24" ht="12">
      <c r="A270" s="2" t="s">
        <v>1093</v>
      </c>
      <c r="B270" s="196" t="s">
        <v>1256</v>
      </c>
      <c r="C270" s="2" t="s">
        <v>1444</v>
      </c>
      <c r="D270" s="2" t="str">
        <f t="shared" si="39"/>
        <v>Joëlle SCOWCROFT-DAMON </v>
      </c>
      <c r="E270" s="2" t="str">
        <f t="shared" si="40"/>
        <v>SCOWCROFT-DAMON  Joëlle</v>
      </c>
      <c r="F270" s="9">
        <v>22.9</v>
      </c>
      <c r="G270" s="9" t="s">
        <v>84</v>
      </c>
      <c r="H270" s="214">
        <v>703098</v>
      </c>
      <c r="I270" s="4" t="s">
        <v>192</v>
      </c>
      <c r="J270" s="217" t="s">
        <v>1540</v>
      </c>
      <c r="K270" s="21">
        <v>18598</v>
      </c>
      <c r="L270" s="23">
        <f t="shared" si="41"/>
        <v>66</v>
      </c>
      <c r="M270" s="23">
        <f t="shared" si="45"/>
        <v>88.9</v>
      </c>
      <c r="N270" s="8" t="str">
        <f ca="1" t="shared" si="42"/>
        <v> </v>
      </c>
      <c r="O270" s="8" t="str">
        <f t="shared" si="37"/>
        <v> </v>
      </c>
      <c r="P270" s="8"/>
      <c r="Q270" s="2" t="s">
        <v>258</v>
      </c>
      <c r="R270" s="3">
        <v>1180</v>
      </c>
      <c r="S270" s="2" t="s">
        <v>546</v>
      </c>
      <c r="T270" s="2" t="s">
        <v>712</v>
      </c>
      <c r="U270" s="2" t="s">
        <v>713</v>
      </c>
      <c r="V270" s="9">
        <v>22.9</v>
      </c>
      <c r="W270" s="5">
        <f t="shared" si="43"/>
        <v>0</v>
      </c>
      <c r="X270" s="6">
        <f t="shared" si="44"/>
        <v>0</v>
      </c>
    </row>
    <row r="271" spans="1:24" ht="12">
      <c r="A271" s="2" t="s">
        <v>1092</v>
      </c>
      <c r="B271" s="196" t="s">
        <v>1146</v>
      </c>
      <c r="C271" s="2" t="s">
        <v>1445</v>
      </c>
      <c r="D271" s="2" t="str">
        <f t="shared" si="39"/>
        <v>Michel SCREVENS </v>
      </c>
      <c r="E271" s="2" t="str">
        <f t="shared" si="40"/>
        <v>SCREVENS  Michel</v>
      </c>
      <c r="F271" s="9">
        <v>8.6</v>
      </c>
      <c r="G271" s="9" t="s">
        <v>84</v>
      </c>
      <c r="H271" s="214">
        <v>260945</v>
      </c>
      <c r="I271" s="4" t="s">
        <v>1137</v>
      </c>
      <c r="J271" s="217" t="s">
        <v>1540</v>
      </c>
      <c r="K271" s="21">
        <v>18705</v>
      </c>
      <c r="L271" s="23">
        <f t="shared" si="41"/>
        <v>66</v>
      </c>
      <c r="M271" s="23">
        <f t="shared" si="45"/>
        <v>74.6</v>
      </c>
      <c r="N271" s="8" t="str">
        <f ca="1" t="shared" si="42"/>
        <v> </v>
      </c>
      <c r="O271" s="8" t="str">
        <f t="shared" si="37"/>
        <v> </v>
      </c>
      <c r="P271" s="8" t="s">
        <v>1540</v>
      </c>
      <c r="Q271" s="2" t="s">
        <v>259</v>
      </c>
      <c r="R271" s="3">
        <v>1180</v>
      </c>
      <c r="S271" s="2" t="s">
        <v>546</v>
      </c>
      <c r="T271" s="2"/>
      <c r="U271" s="2" t="s">
        <v>739</v>
      </c>
      <c r="V271" s="9">
        <v>8.6</v>
      </c>
      <c r="W271" s="5">
        <f t="shared" si="43"/>
        <v>0</v>
      </c>
      <c r="X271" s="6">
        <f t="shared" si="44"/>
        <v>0</v>
      </c>
    </row>
    <row r="272" spans="1:24" ht="12">
      <c r="A272" s="2" t="s">
        <v>1093</v>
      </c>
      <c r="B272" s="196" t="s">
        <v>1187</v>
      </c>
      <c r="C272" s="2" t="s">
        <v>1446</v>
      </c>
      <c r="D272" s="2" t="str">
        <f t="shared" si="39"/>
        <v>Nadine SERGYSELS </v>
      </c>
      <c r="E272" s="2" t="str">
        <f t="shared" si="40"/>
        <v>SERGYSELS  Nadine</v>
      </c>
      <c r="F272" s="9">
        <v>22.9</v>
      </c>
      <c r="G272" s="9" t="s">
        <v>84</v>
      </c>
      <c r="H272" s="214">
        <v>703097</v>
      </c>
      <c r="I272" s="4" t="s">
        <v>1032</v>
      </c>
      <c r="J272" s="217" t="s">
        <v>1540</v>
      </c>
      <c r="K272" s="21">
        <v>15335</v>
      </c>
      <c r="L272" s="23">
        <f t="shared" si="41"/>
        <v>75</v>
      </c>
      <c r="M272" s="23">
        <f t="shared" si="45"/>
        <v>97.9</v>
      </c>
      <c r="N272" s="8" t="str">
        <f ca="1" t="shared" si="42"/>
        <v> </v>
      </c>
      <c r="O272" s="8" t="str">
        <f t="shared" si="37"/>
        <v> </v>
      </c>
      <c r="P272" s="8" t="s">
        <v>1540</v>
      </c>
      <c r="Q272" s="2" t="s">
        <v>260</v>
      </c>
      <c r="R272" s="3">
        <v>1180</v>
      </c>
      <c r="S272" s="2" t="s">
        <v>546</v>
      </c>
      <c r="T272" s="2" t="s">
        <v>613</v>
      </c>
      <c r="U272" s="2"/>
      <c r="V272" s="9">
        <v>22.9</v>
      </c>
      <c r="W272" s="5">
        <f t="shared" si="43"/>
        <v>0</v>
      </c>
      <c r="X272" s="6">
        <f t="shared" si="44"/>
        <v>0</v>
      </c>
    </row>
    <row r="273" spans="1:24" ht="12">
      <c r="A273" s="2" t="s">
        <v>1092</v>
      </c>
      <c r="B273" s="196" t="s">
        <v>1434</v>
      </c>
      <c r="C273" s="2" t="s">
        <v>1446</v>
      </c>
      <c r="D273" s="2" t="str">
        <f t="shared" si="39"/>
        <v>Roger SERGYSELS </v>
      </c>
      <c r="E273" s="2" t="str">
        <f t="shared" si="40"/>
        <v>SERGYSELS  Roger</v>
      </c>
      <c r="F273" s="9">
        <v>20.6</v>
      </c>
      <c r="G273" s="9" t="s">
        <v>84</v>
      </c>
      <c r="H273" s="214">
        <v>703096</v>
      </c>
      <c r="I273" s="4" t="s">
        <v>1033</v>
      </c>
      <c r="J273" s="217" t="s">
        <v>1540</v>
      </c>
      <c r="K273" s="21">
        <v>16031</v>
      </c>
      <c r="L273" s="23">
        <f t="shared" si="41"/>
        <v>73</v>
      </c>
      <c r="M273" s="23">
        <f t="shared" si="45"/>
        <v>93.6</v>
      </c>
      <c r="N273" s="8" t="str">
        <f ca="1" t="shared" si="42"/>
        <v> </v>
      </c>
      <c r="O273" s="8" t="str">
        <f t="shared" si="37"/>
        <v> </v>
      </c>
      <c r="P273" s="8" t="s">
        <v>1540</v>
      </c>
      <c r="Q273" s="2" t="s">
        <v>260</v>
      </c>
      <c r="R273" s="3">
        <v>1180</v>
      </c>
      <c r="S273" s="2" t="s">
        <v>546</v>
      </c>
      <c r="T273" s="2" t="s">
        <v>613</v>
      </c>
      <c r="U273" s="2"/>
      <c r="V273" s="9">
        <v>20.6</v>
      </c>
      <c r="W273" s="5">
        <f t="shared" si="43"/>
        <v>0</v>
      </c>
      <c r="X273" s="6">
        <f t="shared" si="44"/>
        <v>0</v>
      </c>
    </row>
    <row r="274" spans="1:24" ht="12">
      <c r="A274" s="2" t="s">
        <v>1093</v>
      </c>
      <c r="B274" s="196" t="s">
        <v>1435</v>
      </c>
      <c r="C274" s="2" t="s">
        <v>1447</v>
      </c>
      <c r="D274" s="2" t="str">
        <f t="shared" si="39"/>
        <v>Alexandra SEVERYNS </v>
      </c>
      <c r="E274" s="2" t="str">
        <f t="shared" si="40"/>
        <v>SEVERYNS  Alexandra</v>
      </c>
      <c r="F274" s="9">
        <v>26.1</v>
      </c>
      <c r="G274" s="9" t="s">
        <v>84</v>
      </c>
      <c r="H274" s="214">
        <v>227723</v>
      </c>
      <c r="I274" s="4" t="s">
        <v>1749</v>
      </c>
      <c r="J274" s="217" t="s">
        <v>1540</v>
      </c>
      <c r="K274" s="21">
        <v>16079</v>
      </c>
      <c r="L274" s="23">
        <f t="shared" si="41"/>
        <v>73</v>
      </c>
      <c r="M274" s="23">
        <f t="shared" si="45"/>
        <v>99.1</v>
      </c>
      <c r="N274" s="8" t="str">
        <f ca="1" t="shared" si="42"/>
        <v> </v>
      </c>
      <c r="O274" s="8" t="str">
        <f t="shared" si="37"/>
        <v> </v>
      </c>
      <c r="P274" s="8"/>
      <c r="Q274" s="2" t="s">
        <v>261</v>
      </c>
      <c r="R274" s="3">
        <v>1420</v>
      </c>
      <c r="S274" s="2" t="s">
        <v>535</v>
      </c>
      <c r="T274" s="2" t="s">
        <v>633</v>
      </c>
      <c r="U274" s="2" t="s">
        <v>681</v>
      </c>
      <c r="V274" s="9">
        <v>26.1</v>
      </c>
      <c r="W274" s="5">
        <f t="shared" si="43"/>
        <v>0</v>
      </c>
      <c r="X274" s="6">
        <f t="shared" si="44"/>
        <v>0</v>
      </c>
    </row>
    <row r="275" spans="1:25" ht="12">
      <c r="A275" s="2" t="s">
        <v>1092</v>
      </c>
      <c r="B275" s="196" t="s">
        <v>1275</v>
      </c>
      <c r="C275" s="2" t="s">
        <v>1448</v>
      </c>
      <c r="D275" s="2" t="str">
        <f t="shared" si="39"/>
        <v>Yves SIMON </v>
      </c>
      <c r="E275" s="2" t="str">
        <f t="shared" si="40"/>
        <v>SIMON  Yves</v>
      </c>
      <c r="F275" s="9">
        <v>22.6</v>
      </c>
      <c r="G275" s="9" t="s">
        <v>84</v>
      </c>
      <c r="H275" s="214">
        <v>206885</v>
      </c>
      <c r="I275" s="4" t="s">
        <v>1035</v>
      </c>
      <c r="J275" s="217" t="s">
        <v>1540</v>
      </c>
      <c r="K275" s="21">
        <v>18813</v>
      </c>
      <c r="L275" s="23">
        <f t="shared" si="41"/>
        <v>65</v>
      </c>
      <c r="M275" s="23">
        <f t="shared" si="45"/>
        <v>87.6</v>
      </c>
      <c r="N275" s="8" t="str">
        <f ca="1" t="shared" si="42"/>
        <v> </v>
      </c>
      <c r="O275" s="8" t="str">
        <f t="shared" si="37"/>
        <v> </v>
      </c>
      <c r="P275" s="8" t="s">
        <v>1540</v>
      </c>
      <c r="Q275" s="2" t="s">
        <v>262</v>
      </c>
      <c r="R275" s="3">
        <v>1410</v>
      </c>
      <c r="S275" s="2" t="s">
        <v>534</v>
      </c>
      <c r="T275" s="2" t="s">
        <v>495</v>
      </c>
      <c r="U275" s="2" t="s">
        <v>689</v>
      </c>
      <c r="V275" s="9">
        <v>22.6</v>
      </c>
      <c r="W275" s="5">
        <f t="shared" si="43"/>
        <v>0</v>
      </c>
      <c r="X275" s="6">
        <f t="shared" si="44"/>
        <v>0</v>
      </c>
      <c r="Y275" s="212"/>
    </row>
    <row r="276" spans="1:24" ht="12">
      <c r="A276" s="2" t="s">
        <v>1093</v>
      </c>
      <c r="B276" s="196" t="s">
        <v>1799</v>
      </c>
      <c r="C276" s="2" t="s">
        <v>1800</v>
      </c>
      <c r="D276" s="2" t="str">
        <f t="shared" si="39"/>
        <v>Daniele SIRET</v>
      </c>
      <c r="E276" s="2" t="str">
        <f t="shared" si="40"/>
        <v>SIRET Daniele</v>
      </c>
      <c r="F276" s="9">
        <v>13.6</v>
      </c>
      <c r="G276" s="9" t="s">
        <v>84</v>
      </c>
      <c r="H276" s="214">
        <v>227733</v>
      </c>
      <c r="I276" s="4" t="s">
        <v>1991</v>
      </c>
      <c r="J276" s="217" t="s">
        <v>1540</v>
      </c>
      <c r="K276" s="21">
        <v>21779</v>
      </c>
      <c r="L276" s="23">
        <f t="shared" si="41"/>
        <v>57</v>
      </c>
      <c r="M276" s="23">
        <f t="shared" si="45"/>
        <v>70.6</v>
      </c>
      <c r="N276" s="8" t="str">
        <f ca="1" t="shared" si="42"/>
        <v> </v>
      </c>
      <c r="O276" s="8" t="str">
        <f t="shared" si="37"/>
        <v> </v>
      </c>
      <c r="P276" s="8" t="s">
        <v>1540</v>
      </c>
      <c r="Q276" s="2" t="s">
        <v>1801</v>
      </c>
      <c r="R276" s="3">
        <v>1420</v>
      </c>
      <c r="S276" s="2" t="s">
        <v>535</v>
      </c>
      <c r="T276" s="2"/>
      <c r="U276" s="2" t="s">
        <v>1803</v>
      </c>
      <c r="V276" s="9">
        <v>13.6</v>
      </c>
      <c r="W276" s="5">
        <f t="shared" si="43"/>
        <v>0</v>
      </c>
      <c r="X276" s="6">
        <f t="shared" si="44"/>
        <v>0</v>
      </c>
    </row>
    <row r="277" spans="1:24" ht="12">
      <c r="A277" s="2" t="s">
        <v>1092</v>
      </c>
      <c r="B277" s="196" t="s">
        <v>1253</v>
      </c>
      <c r="C277" s="2" t="s">
        <v>1800</v>
      </c>
      <c r="D277" s="2" t="str">
        <f t="shared" si="39"/>
        <v>Pierre SIRET</v>
      </c>
      <c r="E277" s="2" t="str">
        <f t="shared" si="40"/>
        <v>SIRET Pierre</v>
      </c>
      <c r="F277" s="9">
        <v>15.3</v>
      </c>
      <c r="G277" s="9" t="s">
        <v>84</v>
      </c>
      <c r="H277" s="214">
        <v>227773</v>
      </c>
      <c r="I277" s="4" t="s">
        <v>1806</v>
      </c>
      <c r="J277" s="217" t="s">
        <v>1540</v>
      </c>
      <c r="K277" s="21">
        <v>19784</v>
      </c>
      <c r="L277" s="23">
        <f t="shared" si="41"/>
        <v>63</v>
      </c>
      <c r="M277" s="23">
        <f t="shared" si="45"/>
        <v>78.3</v>
      </c>
      <c r="N277" s="8" t="str">
        <f ca="1" t="shared" si="42"/>
        <v> </v>
      </c>
      <c r="O277" s="8" t="str">
        <f t="shared" si="37"/>
        <v> </v>
      </c>
      <c r="P277" s="8" t="s">
        <v>1540</v>
      </c>
      <c r="Q277" s="2" t="s">
        <v>1801</v>
      </c>
      <c r="R277" s="3">
        <v>1420</v>
      </c>
      <c r="S277" s="2" t="s">
        <v>535</v>
      </c>
      <c r="T277" s="2"/>
      <c r="U277" s="2" t="s">
        <v>1802</v>
      </c>
      <c r="V277" s="9">
        <v>15.3</v>
      </c>
      <c r="W277" s="5">
        <f t="shared" si="43"/>
        <v>0</v>
      </c>
      <c r="X277" s="6">
        <f t="shared" si="44"/>
        <v>0</v>
      </c>
    </row>
    <row r="278" spans="1:24" ht="12">
      <c r="A278" s="2" t="s">
        <v>1092</v>
      </c>
      <c r="B278" s="196" t="s">
        <v>1308</v>
      </c>
      <c r="C278" s="2" t="s">
        <v>1449</v>
      </c>
      <c r="D278" s="2" t="str">
        <f t="shared" si="39"/>
        <v>Daniel SLITS </v>
      </c>
      <c r="E278" s="2" t="str">
        <f t="shared" si="40"/>
        <v>SLITS  Daniel</v>
      </c>
      <c r="F278" s="9">
        <v>13.7</v>
      </c>
      <c r="G278" s="9" t="s">
        <v>84</v>
      </c>
      <c r="H278" s="214">
        <v>227738</v>
      </c>
      <c r="I278" s="4" t="s">
        <v>1036</v>
      </c>
      <c r="J278" s="217" t="s">
        <v>1540</v>
      </c>
      <c r="K278" s="21">
        <v>17090</v>
      </c>
      <c r="L278" s="23">
        <f t="shared" si="41"/>
        <v>70</v>
      </c>
      <c r="M278" s="23">
        <f t="shared" si="45"/>
        <v>83.7</v>
      </c>
      <c r="N278" s="8" t="str">
        <f ca="1" t="shared" si="42"/>
        <v> </v>
      </c>
      <c r="O278" s="8" t="str">
        <f t="shared" si="37"/>
        <v> </v>
      </c>
      <c r="P278" s="8"/>
      <c r="Q278" s="2" t="s">
        <v>263</v>
      </c>
      <c r="R278" s="3">
        <v>3090</v>
      </c>
      <c r="S278" s="2" t="s">
        <v>541</v>
      </c>
      <c r="T278" s="2" t="s">
        <v>579</v>
      </c>
      <c r="U278" s="2" t="s">
        <v>580</v>
      </c>
      <c r="V278" s="9">
        <v>13.7</v>
      </c>
      <c r="W278" s="5">
        <f t="shared" si="43"/>
        <v>0</v>
      </c>
      <c r="X278" s="6">
        <f t="shared" si="44"/>
        <v>0</v>
      </c>
    </row>
    <row r="279" spans="1:24" ht="12">
      <c r="A279" s="2" t="s">
        <v>1093</v>
      </c>
      <c r="B279" s="196" t="s">
        <v>1946</v>
      </c>
      <c r="C279" s="2" t="s">
        <v>1947</v>
      </c>
      <c r="D279" s="2" t="str">
        <f t="shared" si="39"/>
        <v>Hilde SMEETS</v>
      </c>
      <c r="E279" s="2" t="str">
        <f t="shared" si="40"/>
        <v>SMEETS Hilde</v>
      </c>
      <c r="F279" s="9">
        <v>25.7</v>
      </c>
      <c r="G279" s="9" t="s">
        <v>84</v>
      </c>
      <c r="H279" s="214">
        <v>221586</v>
      </c>
      <c r="I279" s="4" t="s">
        <v>1948</v>
      </c>
      <c r="J279" s="217"/>
      <c r="K279" s="21">
        <v>21833</v>
      </c>
      <c r="L279" s="23">
        <f t="shared" si="41"/>
        <v>57</v>
      </c>
      <c r="M279" s="23">
        <f t="shared" si="45"/>
        <v>82.7</v>
      </c>
      <c r="N279" s="8" t="str">
        <f ca="1" t="shared" si="42"/>
        <v> </v>
      </c>
      <c r="O279" s="8" t="str">
        <f t="shared" si="37"/>
        <v> </v>
      </c>
      <c r="P279" s="8"/>
      <c r="Q279" s="2" t="s">
        <v>1963</v>
      </c>
      <c r="R279" s="3">
        <v>1933</v>
      </c>
      <c r="S279" s="2" t="s">
        <v>1964</v>
      </c>
      <c r="T279" s="2"/>
      <c r="U279" s="2" t="s">
        <v>1949</v>
      </c>
      <c r="V279" s="9">
        <v>25.7</v>
      </c>
      <c r="W279" s="5">
        <f t="shared" si="43"/>
        <v>0</v>
      </c>
      <c r="X279" s="6">
        <f t="shared" si="44"/>
        <v>0</v>
      </c>
    </row>
    <row r="280" spans="1:24" ht="12">
      <c r="A280" s="2" t="s">
        <v>1093</v>
      </c>
      <c r="B280" s="196" t="s">
        <v>1376</v>
      </c>
      <c r="C280" s="2" t="s">
        <v>1450</v>
      </c>
      <c r="D280" s="2" t="str">
        <f t="shared" si="39"/>
        <v>Brigitte SMEYERS </v>
      </c>
      <c r="E280" s="2" t="str">
        <f t="shared" si="40"/>
        <v>SMEYERS  Brigitte</v>
      </c>
      <c r="F280" s="9">
        <v>17.4</v>
      </c>
      <c r="G280" s="9" t="s">
        <v>84</v>
      </c>
      <c r="H280" s="214">
        <v>703093</v>
      </c>
      <c r="I280" s="4" t="s">
        <v>1037</v>
      </c>
      <c r="J280" s="217" t="s">
        <v>1540</v>
      </c>
      <c r="K280" s="21">
        <v>21823</v>
      </c>
      <c r="L280" s="23">
        <f t="shared" si="41"/>
        <v>57</v>
      </c>
      <c r="M280" s="23">
        <f t="shared" si="45"/>
        <v>74.4</v>
      </c>
      <c r="N280" s="8" t="str">
        <f ca="1" t="shared" si="42"/>
        <v> </v>
      </c>
      <c r="O280" s="8" t="str">
        <f t="shared" si="37"/>
        <v> </v>
      </c>
      <c r="P280" s="8" t="s">
        <v>1540</v>
      </c>
      <c r="Q280" s="2" t="s">
        <v>264</v>
      </c>
      <c r="R280" s="3">
        <v>1180</v>
      </c>
      <c r="S280" s="2" t="s">
        <v>546</v>
      </c>
      <c r="T280" s="2" t="s">
        <v>386</v>
      </c>
      <c r="U280" s="2" t="s">
        <v>581</v>
      </c>
      <c r="V280" s="9">
        <v>17.4</v>
      </c>
      <c r="W280" s="5">
        <f t="shared" si="43"/>
        <v>0</v>
      </c>
      <c r="X280" s="6">
        <f t="shared" si="44"/>
        <v>0</v>
      </c>
    </row>
    <row r="281" spans="1:24" ht="12">
      <c r="A281" s="2" t="s">
        <v>1093</v>
      </c>
      <c r="B281" s="196" t="s">
        <v>1967</v>
      </c>
      <c r="C281" s="2" t="s">
        <v>1450</v>
      </c>
      <c r="D281" s="2" t="str">
        <f t="shared" si="39"/>
        <v>Francois SMEYERS </v>
      </c>
      <c r="E281" s="2" t="str">
        <f t="shared" si="40"/>
        <v>SMEYERS  Francois</v>
      </c>
      <c r="F281" s="9">
        <v>20.2</v>
      </c>
      <c r="G281" s="9" t="s">
        <v>84</v>
      </c>
      <c r="H281" s="214">
        <v>224081</v>
      </c>
      <c r="I281" s="4" t="s">
        <v>60</v>
      </c>
      <c r="J281" s="217" t="s">
        <v>1540</v>
      </c>
      <c r="K281" s="21">
        <v>20574</v>
      </c>
      <c r="L281" s="23">
        <f t="shared" si="41"/>
        <v>61</v>
      </c>
      <c r="M281" s="23">
        <f t="shared" si="45"/>
        <v>81.2</v>
      </c>
      <c r="N281" s="8" t="str">
        <f ca="1" t="shared" si="42"/>
        <v> </v>
      </c>
      <c r="O281" s="8" t="str">
        <f t="shared" si="37"/>
        <v> </v>
      </c>
      <c r="P281" s="8" t="s">
        <v>1540</v>
      </c>
      <c r="Q281" s="2" t="s">
        <v>264</v>
      </c>
      <c r="R281" s="3">
        <v>1180</v>
      </c>
      <c r="S281" s="2" t="s">
        <v>546</v>
      </c>
      <c r="T281" s="2" t="s">
        <v>386</v>
      </c>
      <c r="U281" s="2" t="s">
        <v>1968</v>
      </c>
      <c r="V281" s="9">
        <v>20.2</v>
      </c>
      <c r="W281" s="5">
        <f t="shared" si="43"/>
        <v>0</v>
      </c>
      <c r="X281" s="6">
        <f t="shared" si="44"/>
        <v>0</v>
      </c>
    </row>
    <row r="282" spans="1:24" ht="12">
      <c r="A282" s="2" t="s">
        <v>1092</v>
      </c>
      <c r="B282" s="196" t="s">
        <v>1252</v>
      </c>
      <c r="C282" s="2" t="s">
        <v>1451</v>
      </c>
      <c r="D282" s="2" t="str">
        <f t="shared" si="39"/>
        <v>Etienne SOETENS</v>
      </c>
      <c r="E282" s="2" t="str">
        <f t="shared" si="40"/>
        <v>SOETENS Etienne</v>
      </c>
      <c r="F282" s="9">
        <v>32.4</v>
      </c>
      <c r="G282" s="9" t="s">
        <v>83</v>
      </c>
      <c r="H282" s="214">
        <v>206824</v>
      </c>
      <c r="I282" s="4" t="s">
        <v>1039</v>
      </c>
      <c r="J282" s="217" t="s">
        <v>1540</v>
      </c>
      <c r="K282" s="21">
        <v>13435</v>
      </c>
      <c r="L282" s="23">
        <f t="shared" si="41"/>
        <v>80</v>
      </c>
      <c r="M282" s="23">
        <f t="shared" si="45"/>
        <v>112.4</v>
      </c>
      <c r="N282" s="8" t="str">
        <f ca="1" t="shared" si="42"/>
        <v> </v>
      </c>
      <c r="O282" s="8" t="str">
        <f t="shared" si="37"/>
        <v> </v>
      </c>
      <c r="P282" s="8" t="s">
        <v>1540</v>
      </c>
      <c r="Q282" s="2" t="s">
        <v>265</v>
      </c>
      <c r="R282" s="3">
        <v>1780</v>
      </c>
      <c r="S282" s="2" t="s">
        <v>350</v>
      </c>
      <c r="T282" s="2" t="s">
        <v>370</v>
      </c>
      <c r="U282" s="2" t="s">
        <v>614</v>
      </c>
      <c r="V282" s="9">
        <v>32.4</v>
      </c>
      <c r="W282" s="5">
        <f t="shared" si="43"/>
        <v>0</v>
      </c>
      <c r="X282" s="6">
        <f t="shared" si="44"/>
        <v>0</v>
      </c>
    </row>
    <row r="283" spans="1:24" ht="12">
      <c r="A283" s="2" t="s">
        <v>1093</v>
      </c>
      <c r="B283" s="196" t="s">
        <v>1436</v>
      </c>
      <c r="C283" s="2" t="s">
        <v>1452</v>
      </c>
      <c r="D283" s="2" t="str">
        <f t="shared" si="39"/>
        <v>Corine SOHET </v>
      </c>
      <c r="E283" s="2" t="str">
        <f t="shared" si="40"/>
        <v>SOHET  Corine</v>
      </c>
      <c r="F283" s="9">
        <v>20</v>
      </c>
      <c r="G283" s="9" t="s">
        <v>84</v>
      </c>
      <c r="H283" s="214">
        <v>254742</v>
      </c>
      <c r="I283" s="4" t="s">
        <v>1040</v>
      </c>
      <c r="J283" s="217" t="s">
        <v>1540</v>
      </c>
      <c r="K283" s="21">
        <v>17743</v>
      </c>
      <c r="L283" s="23">
        <f t="shared" si="41"/>
        <v>68</v>
      </c>
      <c r="M283" s="23">
        <f t="shared" si="45"/>
        <v>88</v>
      </c>
      <c r="N283" s="8" t="str">
        <f ca="1" t="shared" si="42"/>
        <v> </v>
      </c>
      <c r="O283" s="8" t="str">
        <f t="shared" si="37"/>
        <v> </v>
      </c>
      <c r="P283" s="8" t="s">
        <v>1540</v>
      </c>
      <c r="Q283" s="2" t="s">
        <v>266</v>
      </c>
      <c r="R283" s="3">
        <v>1180</v>
      </c>
      <c r="S283" s="2" t="s">
        <v>546</v>
      </c>
      <c r="T283" s="2" t="s">
        <v>358</v>
      </c>
      <c r="U283" s="2" t="s">
        <v>372</v>
      </c>
      <c r="V283" s="9">
        <v>20</v>
      </c>
      <c r="W283" s="5">
        <f t="shared" si="43"/>
        <v>0</v>
      </c>
      <c r="X283" s="6">
        <f t="shared" si="44"/>
        <v>0</v>
      </c>
    </row>
    <row r="284" spans="1:24" ht="12">
      <c r="A284" s="2" t="s">
        <v>1093</v>
      </c>
      <c r="B284" s="196" t="s">
        <v>1406</v>
      </c>
      <c r="C284" s="2" t="s">
        <v>147</v>
      </c>
      <c r="D284" s="2" t="str">
        <f t="shared" si="39"/>
        <v>Dominique STANDAERT-SOETENS</v>
      </c>
      <c r="E284" s="2" t="str">
        <f t="shared" si="40"/>
        <v>STANDAERT-SOETENS Dominique</v>
      </c>
      <c r="F284" s="9">
        <v>14.2</v>
      </c>
      <c r="G284" s="9" t="s">
        <v>84</v>
      </c>
      <c r="H284" s="214">
        <v>206825</v>
      </c>
      <c r="I284" s="4" t="s">
        <v>1038</v>
      </c>
      <c r="J284" s="217" t="s">
        <v>1540</v>
      </c>
      <c r="K284" s="21">
        <v>17702</v>
      </c>
      <c r="L284" s="23">
        <f t="shared" si="41"/>
        <v>69</v>
      </c>
      <c r="M284" s="23">
        <f t="shared" si="45"/>
        <v>83.2</v>
      </c>
      <c r="N284" s="8" t="str">
        <f ca="1" t="shared" si="42"/>
        <v>y</v>
      </c>
      <c r="O284" s="8" t="str">
        <f aca="true" t="shared" si="46" ref="O284:O320">IF((IF(DAY(K284)=DAY(dc),1,0)+IF(MONTH(K284)=MONTH(dc),1,0))=2,"y"," ")</f>
        <v> </v>
      </c>
      <c r="P284" s="8" t="s">
        <v>1540</v>
      </c>
      <c r="Q284" s="2" t="s">
        <v>265</v>
      </c>
      <c r="R284" s="3">
        <v>1780</v>
      </c>
      <c r="S284" s="2" t="s">
        <v>350</v>
      </c>
      <c r="T284" s="2" t="s">
        <v>370</v>
      </c>
      <c r="U284" s="2" t="s">
        <v>371</v>
      </c>
      <c r="V284" s="9">
        <v>14.2</v>
      </c>
      <c r="W284" s="5">
        <f t="shared" si="43"/>
        <v>0</v>
      </c>
      <c r="X284" s="6">
        <f t="shared" si="44"/>
        <v>0</v>
      </c>
    </row>
    <row r="285" spans="1:24" ht="12">
      <c r="A285" s="2" t="s">
        <v>1093</v>
      </c>
      <c r="B285" s="196" t="s">
        <v>1169</v>
      </c>
      <c r="C285" s="2" t="s">
        <v>1453</v>
      </c>
      <c r="D285" s="2" t="str">
        <f t="shared" si="39"/>
        <v>Martine STAS de RICHELLE</v>
      </c>
      <c r="E285" s="2" t="str">
        <f t="shared" si="40"/>
        <v>STAS de RICHELLE Martine</v>
      </c>
      <c r="F285" s="9">
        <v>17.3</v>
      </c>
      <c r="G285" s="9" t="s">
        <v>84</v>
      </c>
      <c r="H285" s="214">
        <v>254743</v>
      </c>
      <c r="I285" s="4" t="s">
        <v>1041</v>
      </c>
      <c r="J285" s="217" t="s">
        <v>1540</v>
      </c>
      <c r="K285" s="21">
        <v>19842</v>
      </c>
      <c r="L285" s="23">
        <f t="shared" si="41"/>
        <v>63</v>
      </c>
      <c r="M285" s="23">
        <f t="shared" si="45"/>
        <v>80.3</v>
      </c>
      <c r="N285" s="8" t="str">
        <f ca="1" t="shared" si="42"/>
        <v> </v>
      </c>
      <c r="O285" s="8" t="str">
        <f t="shared" si="46"/>
        <v> </v>
      </c>
      <c r="P285" s="8"/>
      <c r="Q285" s="2" t="s">
        <v>267</v>
      </c>
      <c r="R285" s="3">
        <v>1420</v>
      </c>
      <c r="S285" s="2" t="s">
        <v>535</v>
      </c>
      <c r="T285" s="2" t="s">
        <v>501</v>
      </c>
      <c r="U285" s="2" t="s">
        <v>502</v>
      </c>
      <c r="V285" s="9">
        <v>17.3</v>
      </c>
      <c r="W285" s="5">
        <f t="shared" si="43"/>
        <v>0</v>
      </c>
      <c r="X285" s="6">
        <f t="shared" si="44"/>
        <v>0</v>
      </c>
    </row>
    <row r="286" spans="1:24" ht="12">
      <c r="A286" s="2" t="s">
        <v>1093</v>
      </c>
      <c r="B286" s="196" t="s">
        <v>1437</v>
      </c>
      <c r="C286" s="2" t="s">
        <v>1454</v>
      </c>
      <c r="D286" s="2" t="str">
        <f t="shared" si="39"/>
        <v>Annie STEYAERT </v>
      </c>
      <c r="E286" s="2" t="str">
        <f t="shared" si="40"/>
        <v>STEYAERT  Annie</v>
      </c>
      <c r="F286" s="9">
        <v>32.2</v>
      </c>
      <c r="G286" s="9" t="s">
        <v>83</v>
      </c>
      <c r="H286" s="214">
        <v>227751</v>
      </c>
      <c r="I286" s="4" t="s">
        <v>1042</v>
      </c>
      <c r="J286" s="217" t="s">
        <v>1540</v>
      </c>
      <c r="K286" s="21">
        <v>12147</v>
      </c>
      <c r="L286" s="23">
        <f t="shared" si="41"/>
        <v>84</v>
      </c>
      <c r="M286" s="23">
        <f t="shared" si="45"/>
        <v>116.2</v>
      </c>
      <c r="N286" s="8" t="str">
        <f ca="1" t="shared" si="42"/>
        <v> </v>
      </c>
      <c r="O286" s="8" t="str">
        <f t="shared" si="46"/>
        <v> </v>
      </c>
      <c r="P286" s="8"/>
      <c r="Q286" s="2" t="s">
        <v>268</v>
      </c>
      <c r="R286" s="3">
        <v>1640</v>
      </c>
      <c r="S286" s="2" t="s">
        <v>345</v>
      </c>
      <c r="T286" s="2" t="s">
        <v>615</v>
      </c>
      <c r="U286" s="2"/>
      <c r="V286" s="9">
        <v>32.2</v>
      </c>
      <c r="W286" s="5">
        <f t="shared" si="43"/>
        <v>0</v>
      </c>
      <c r="X286" s="6">
        <f t="shared" si="44"/>
        <v>0</v>
      </c>
    </row>
    <row r="287" spans="1:24" ht="12">
      <c r="A287" s="2" t="s">
        <v>1092</v>
      </c>
      <c r="B287" s="196" t="s">
        <v>1196</v>
      </c>
      <c r="C287" s="2" t="s">
        <v>1454</v>
      </c>
      <c r="D287" s="2" t="str">
        <f t="shared" si="39"/>
        <v>Guy STEYAERT </v>
      </c>
      <c r="E287" s="2" t="str">
        <f t="shared" si="40"/>
        <v>STEYAERT  Guy</v>
      </c>
      <c r="F287" s="9">
        <v>24.799999237060547</v>
      </c>
      <c r="G287" s="9" t="s">
        <v>83</v>
      </c>
      <c r="H287" s="214">
        <v>102383</v>
      </c>
      <c r="I287" s="4" t="s">
        <v>1043</v>
      </c>
      <c r="J287" s="217" t="s">
        <v>1540</v>
      </c>
      <c r="K287" s="21">
        <v>14601</v>
      </c>
      <c r="L287" s="23">
        <f t="shared" si="41"/>
        <v>77</v>
      </c>
      <c r="M287" s="23">
        <f t="shared" si="45"/>
        <v>101.79999923706055</v>
      </c>
      <c r="N287" s="8" t="str">
        <f ca="1" t="shared" si="42"/>
        <v> </v>
      </c>
      <c r="O287" s="8" t="str">
        <f t="shared" si="46"/>
        <v> </v>
      </c>
      <c r="P287" s="8"/>
      <c r="Q287" s="2" t="s">
        <v>269</v>
      </c>
      <c r="R287" s="3">
        <v>1180</v>
      </c>
      <c r="S287" s="2" t="s">
        <v>546</v>
      </c>
      <c r="T287" s="2" t="s">
        <v>582</v>
      </c>
      <c r="U287" s="2" t="s">
        <v>583</v>
      </c>
      <c r="V287" s="9">
        <v>24.799999237060547</v>
      </c>
      <c r="W287" s="5">
        <f t="shared" si="43"/>
        <v>0</v>
      </c>
      <c r="X287" s="6">
        <f t="shared" si="44"/>
        <v>0</v>
      </c>
    </row>
    <row r="288" spans="1:24" ht="12">
      <c r="A288" s="2" t="s">
        <v>1092</v>
      </c>
      <c r="B288" s="196" t="s">
        <v>1188</v>
      </c>
      <c r="C288" s="2" t="s">
        <v>1455</v>
      </c>
      <c r="D288" s="2" t="str">
        <f t="shared" si="39"/>
        <v>Serge STROINOVSKY</v>
      </c>
      <c r="E288" s="2" t="str">
        <f t="shared" si="40"/>
        <v>STROINOVSKY Serge</v>
      </c>
      <c r="F288" s="9">
        <v>26.3</v>
      </c>
      <c r="G288" s="9" t="s">
        <v>84</v>
      </c>
      <c r="H288" s="214">
        <v>227756</v>
      </c>
      <c r="I288" s="4" t="s">
        <v>1044</v>
      </c>
      <c r="J288" s="217"/>
      <c r="K288" s="21">
        <v>18959</v>
      </c>
      <c r="L288" s="23">
        <f t="shared" si="41"/>
        <v>65</v>
      </c>
      <c r="M288" s="23">
        <f t="shared" si="45"/>
        <v>91.3</v>
      </c>
      <c r="N288" s="8" t="str">
        <f ca="1" t="shared" si="42"/>
        <v> </v>
      </c>
      <c r="O288" s="8" t="str">
        <f t="shared" si="46"/>
        <v> </v>
      </c>
      <c r="P288" s="8"/>
      <c r="Q288" s="2" t="s">
        <v>270</v>
      </c>
      <c r="R288" s="3">
        <v>1640</v>
      </c>
      <c r="S288" s="2" t="s">
        <v>345</v>
      </c>
      <c r="T288" s="2" t="s">
        <v>750</v>
      </c>
      <c r="U288" s="2" t="s">
        <v>751</v>
      </c>
      <c r="V288" s="9">
        <v>26.3</v>
      </c>
      <c r="W288" s="5">
        <f t="shared" si="43"/>
        <v>0</v>
      </c>
      <c r="X288" s="6">
        <f t="shared" si="44"/>
        <v>0</v>
      </c>
    </row>
    <row r="289" spans="1:24" ht="12">
      <c r="A289" s="2" t="s">
        <v>1093</v>
      </c>
      <c r="B289" s="196" t="s">
        <v>1339</v>
      </c>
      <c r="C289" s="2" t="s">
        <v>1456</v>
      </c>
      <c r="D289" s="2" t="str">
        <f t="shared" si="39"/>
        <v>Catherine SUNNEN </v>
      </c>
      <c r="E289" s="2" t="str">
        <f t="shared" si="40"/>
        <v>SUNNEN  Catherine</v>
      </c>
      <c r="F289" s="9">
        <v>8.4</v>
      </c>
      <c r="G289" s="9" t="s">
        <v>84</v>
      </c>
      <c r="H289" s="214">
        <v>260946</v>
      </c>
      <c r="I289" s="4" t="s">
        <v>1045</v>
      </c>
      <c r="J289" s="217"/>
      <c r="K289" s="21">
        <v>20447</v>
      </c>
      <c r="L289" s="23">
        <f t="shared" si="41"/>
        <v>61</v>
      </c>
      <c r="M289" s="23">
        <f t="shared" si="45"/>
        <v>69.4</v>
      </c>
      <c r="N289" s="8" t="str">
        <f ca="1" t="shared" si="42"/>
        <v> </v>
      </c>
      <c r="O289" s="8" t="str">
        <f t="shared" si="46"/>
        <v> </v>
      </c>
      <c r="P289" s="8" t="s">
        <v>1540</v>
      </c>
      <c r="Q289" s="2" t="s">
        <v>1746</v>
      </c>
      <c r="R289" s="3">
        <v>1640</v>
      </c>
      <c r="S289" s="2" t="s">
        <v>345</v>
      </c>
      <c r="T289" s="2"/>
      <c r="U289" s="2" t="s">
        <v>738</v>
      </c>
      <c r="V289" s="9">
        <v>8.4</v>
      </c>
      <c r="W289" s="5">
        <f t="shared" si="43"/>
        <v>0</v>
      </c>
      <c r="X289" s="6">
        <f t="shared" si="44"/>
        <v>0</v>
      </c>
    </row>
    <row r="290" spans="1:24" ht="12">
      <c r="A290" s="2" t="s">
        <v>1093</v>
      </c>
      <c r="B290" s="196" t="s">
        <v>1438</v>
      </c>
      <c r="C290" s="2" t="s">
        <v>1457</v>
      </c>
      <c r="D290" s="2" t="str">
        <f t="shared" si="39"/>
        <v>Muriel SYSTERMANS </v>
      </c>
      <c r="E290" s="2" t="str">
        <f t="shared" si="40"/>
        <v>SYSTERMANS  Muriel</v>
      </c>
      <c r="F290" s="9">
        <v>19.4</v>
      </c>
      <c r="G290" s="9" t="s">
        <v>84</v>
      </c>
      <c r="H290" s="214">
        <v>227774</v>
      </c>
      <c r="I290" s="4" t="s">
        <v>1046</v>
      </c>
      <c r="J290" s="217" t="s">
        <v>1540</v>
      </c>
      <c r="K290" s="21">
        <v>18015</v>
      </c>
      <c r="L290" s="23">
        <f t="shared" si="41"/>
        <v>68</v>
      </c>
      <c r="M290" s="23">
        <f t="shared" si="45"/>
        <v>87.4</v>
      </c>
      <c r="N290" s="8" t="str">
        <f ca="1" t="shared" si="42"/>
        <v> </v>
      </c>
      <c r="O290" s="8" t="str">
        <f t="shared" si="46"/>
        <v> </v>
      </c>
      <c r="P290" s="8" t="s">
        <v>1540</v>
      </c>
      <c r="Q290" s="2" t="s">
        <v>1744</v>
      </c>
      <c r="R290" s="3">
        <v>1410</v>
      </c>
      <c r="S290" s="2" t="s">
        <v>534</v>
      </c>
      <c r="T290" s="2" t="s">
        <v>616</v>
      </c>
      <c r="U290" s="2" t="s">
        <v>373</v>
      </c>
      <c r="V290" s="9">
        <v>19.4</v>
      </c>
      <c r="W290" s="5">
        <f t="shared" si="43"/>
        <v>0</v>
      </c>
      <c r="X290" s="6">
        <f t="shared" si="44"/>
        <v>0</v>
      </c>
    </row>
    <row r="291" spans="1:24" ht="12">
      <c r="A291" s="2" t="s">
        <v>1092</v>
      </c>
      <c r="B291" s="196" t="s">
        <v>1439</v>
      </c>
      <c r="C291" s="2" t="s">
        <v>1458</v>
      </c>
      <c r="D291" s="2" t="str">
        <f t="shared" si="39"/>
        <v>René TAILDEMAN</v>
      </c>
      <c r="E291" s="2" t="str">
        <f t="shared" si="40"/>
        <v>TAILDEMAN René</v>
      </c>
      <c r="F291" s="9">
        <v>28.8</v>
      </c>
      <c r="G291" s="9" t="s">
        <v>84</v>
      </c>
      <c r="H291" s="214">
        <v>218672</v>
      </c>
      <c r="I291" s="4" t="s">
        <v>1047</v>
      </c>
      <c r="J291" s="217" t="s">
        <v>1540</v>
      </c>
      <c r="K291" s="21">
        <v>16908</v>
      </c>
      <c r="L291" s="23">
        <f t="shared" si="41"/>
        <v>71</v>
      </c>
      <c r="M291" s="23">
        <f t="shared" si="45"/>
        <v>99.8</v>
      </c>
      <c r="N291" s="8" t="str">
        <f ca="1" t="shared" si="42"/>
        <v> </v>
      </c>
      <c r="O291" s="8" t="str">
        <f t="shared" si="46"/>
        <v> </v>
      </c>
      <c r="P291" s="8" t="s">
        <v>1540</v>
      </c>
      <c r="Q291" s="2" t="s">
        <v>271</v>
      </c>
      <c r="R291" s="3">
        <v>1410</v>
      </c>
      <c r="S291" s="2" t="s">
        <v>534</v>
      </c>
      <c r="T291" s="2" t="s">
        <v>617</v>
      </c>
      <c r="U291" s="2" t="s">
        <v>538</v>
      </c>
      <c r="V291" s="9">
        <v>28.8</v>
      </c>
      <c r="W291" s="5">
        <f t="shared" si="43"/>
        <v>0</v>
      </c>
      <c r="X291" s="6">
        <f t="shared" si="44"/>
        <v>0</v>
      </c>
    </row>
    <row r="292" spans="1:24" ht="12">
      <c r="A292" s="2" t="s">
        <v>1092</v>
      </c>
      <c r="B292" s="196" t="s">
        <v>1189</v>
      </c>
      <c r="C292" s="2" t="s">
        <v>1459</v>
      </c>
      <c r="D292" s="2" t="str">
        <f t="shared" si="39"/>
        <v>Paul TERLINCK </v>
      </c>
      <c r="E292" s="2" t="str">
        <f t="shared" si="40"/>
        <v>TERLINCK  Paul</v>
      </c>
      <c r="F292" s="9">
        <v>31.5</v>
      </c>
      <c r="G292" s="9" t="s">
        <v>84</v>
      </c>
      <c r="H292" s="214">
        <v>196265</v>
      </c>
      <c r="I292" s="4" t="s">
        <v>1048</v>
      </c>
      <c r="J292" s="217" t="s">
        <v>1540</v>
      </c>
      <c r="K292" s="21">
        <v>16424</v>
      </c>
      <c r="L292" s="23">
        <f t="shared" si="41"/>
        <v>72</v>
      </c>
      <c r="M292" s="23">
        <f t="shared" si="45"/>
        <v>103.5</v>
      </c>
      <c r="N292" s="8" t="str">
        <f ca="1" t="shared" si="42"/>
        <v> </v>
      </c>
      <c r="O292" s="8" t="str">
        <f t="shared" si="46"/>
        <v> </v>
      </c>
      <c r="P292" s="8" t="s">
        <v>1540</v>
      </c>
      <c r="Q292" s="2" t="s">
        <v>272</v>
      </c>
      <c r="R292" s="3">
        <v>1180</v>
      </c>
      <c r="S292" s="2" t="s">
        <v>546</v>
      </c>
      <c r="T292" s="2" t="s">
        <v>513</v>
      </c>
      <c r="U292" s="2" t="s">
        <v>514</v>
      </c>
      <c r="V292" s="9">
        <v>31.5</v>
      </c>
      <c r="W292" s="5">
        <f t="shared" si="43"/>
        <v>0</v>
      </c>
      <c r="X292" s="6">
        <f t="shared" si="44"/>
        <v>0</v>
      </c>
    </row>
    <row r="293" spans="1:24" ht="12">
      <c r="A293" s="2" t="s">
        <v>1093</v>
      </c>
      <c r="B293" s="196" t="s">
        <v>1440</v>
      </c>
      <c r="C293" s="2" t="s">
        <v>1460</v>
      </c>
      <c r="D293" s="2" t="str">
        <f t="shared" si="39"/>
        <v>Simone TEVELS </v>
      </c>
      <c r="E293" s="2" t="str">
        <f t="shared" si="40"/>
        <v>TEVELS  Simone</v>
      </c>
      <c r="F293" s="9">
        <v>36</v>
      </c>
      <c r="G293" s="9" t="s">
        <v>84</v>
      </c>
      <c r="H293" s="214">
        <v>709968</v>
      </c>
      <c r="I293" s="4" t="s">
        <v>1049</v>
      </c>
      <c r="J293" s="217"/>
      <c r="K293" s="21">
        <v>21851</v>
      </c>
      <c r="L293" s="23">
        <f t="shared" si="41"/>
        <v>57</v>
      </c>
      <c r="M293" s="23">
        <f t="shared" si="45"/>
        <v>93</v>
      </c>
      <c r="N293" s="8" t="str">
        <f ca="1" t="shared" si="42"/>
        <v> </v>
      </c>
      <c r="O293" s="8" t="str">
        <f t="shared" si="46"/>
        <v> </v>
      </c>
      <c r="P293" s="8" t="s">
        <v>1540</v>
      </c>
      <c r="Q293" s="2" t="s">
        <v>273</v>
      </c>
      <c r="R293" s="3">
        <v>1410</v>
      </c>
      <c r="S293" s="2" t="s">
        <v>534</v>
      </c>
      <c r="T293" s="2"/>
      <c r="U293" s="2" t="s">
        <v>746</v>
      </c>
      <c r="V293" s="9">
        <v>36</v>
      </c>
      <c r="W293" s="5">
        <f t="shared" si="43"/>
        <v>0</v>
      </c>
      <c r="X293" s="6">
        <f t="shared" si="44"/>
        <v>0</v>
      </c>
    </row>
    <row r="294" spans="1:24" ht="12">
      <c r="A294" s="2" t="s">
        <v>1092</v>
      </c>
      <c r="B294" s="196" t="s">
        <v>1167</v>
      </c>
      <c r="C294" s="2" t="s">
        <v>1461</v>
      </c>
      <c r="D294" s="2" t="str">
        <f t="shared" si="39"/>
        <v>Gérard TEYCHENE </v>
      </c>
      <c r="E294" s="2" t="str">
        <f t="shared" si="40"/>
        <v>TEYCHENE  Gérard</v>
      </c>
      <c r="F294" s="9">
        <v>26.2</v>
      </c>
      <c r="G294" s="9" t="s">
        <v>84</v>
      </c>
      <c r="H294" s="214">
        <v>720915</v>
      </c>
      <c r="I294" s="4" t="s">
        <v>1050</v>
      </c>
      <c r="J294" s="217" t="s">
        <v>1540</v>
      </c>
      <c r="K294" s="21">
        <v>17678</v>
      </c>
      <c r="L294" s="23">
        <f t="shared" si="41"/>
        <v>69</v>
      </c>
      <c r="M294" s="23">
        <f t="shared" si="45"/>
        <v>95.2</v>
      </c>
      <c r="N294" s="8" t="str">
        <f ca="1" t="shared" si="42"/>
        <v> </v>
      </c>
      <c r="O294" s="8" t="str">
        <f t="shared" si="46"/>
        <v> </v>
      </c>
      <c r="P294" s="8"/>
      <c r="Q294" s="2" t="s">
        <v>274</v>
      </c>
      <c r="R294" s="3">
        <v>1180</v>
      </c>
      <c r="S294" s="2" t="s">
        <v>546</v>
      </c>
      <c r="T294" s="2" t="s">
        <v>489</v>
      </c>
      <c r="U294" s="2" t="s">
        <v>490</v>
      </c>
      <c r="V294" s="9">
        <v>26.2</v>
      </c>
      <c r="W294" s="5">
        <f t="shared" si="43"/>
        <v>0</v>
      </c>
      <c r="X294" s="6">
        <f t="shared" si="44"/>
        <v>0</v>
      </c>
    </row>
    <row r="295" spans="1:24" ht="12">
      <c r="A295" s="2" t="s">
        <v>1092</v>
      </c>
      <c r="B295" s="196" t="s">
        <v>1756</v>
      </c>
      <c r="C295" s="2" t="s">
        <v>1462</v>
      </c>
      <c r="D295" s="2" t="str">
        <f t="shared" si="39"/>
        <v>Bruno THITEUX </v>
      </c>
      <c r="E295" s="2" t="str">
        <f t="shared" si="40"/>
        <v>THITEUX  Bruno</v>
      </c>
      <c r="F295" s="9">
        <v>34.1</v>
      </c>
      <c r="G295" s="9" t="s">
        <v>83</v>
      </c>
      <c r="H295" s="214">
        <v>709970</v>
      </c>
      <c r="I295" s="4" t="s">
        <v>1992</v>
      </c>
      <c r="J295" s="217" t="s">
        <v>1540</v>
      </c>
      <c r="K295" s="21">
        <v>21635</v>
      </c>
      <c r="L295" s="23">
        <f t="shared" si="41"/>
        <v>58</v>
      </c>
      <c r="M295" s="23">
        <f t="shared" si="45"/>
        <v>92.1</v>
      </c>
      <c r="N295" s="8" t="str">
        <f ca="1" t="shared" si="42"/>
        <v> </v>
      </c>
      <c r="O295" s="8" t="str">
        <f t="shared" si="46"/>
        <v> </v>
      </c>
      <c r="P295" s="8"/>
      <c r="Q295" s="2" t="s">
        <v>275</v>
      </c>
      <c r="R295" s="3">
        <v>1410</v>
      </c>
      <c r="S295" s="2" t="s">
        <v>534</v>
      </c>
      <c r="T295" s="2" t="s">
        <v>781</v>
      </c>
      <c r="U295" s="2"/>
      <c r="V295" s="9">
        <v>34.1</v>
      </c>
      <c r="W295" s="5">
        <f t="shared" si="43"/>
        <v>0</v>
      </c>
      <c r="X295" s="6">
        <f t="shared" si="44"/>
        <v>0</v>
      </c>
    </row>
    <row r="296" spans="1:24" ht="12">
      <c r="A296" s="2" t="s">
        <v>1092</v>
      </c>
      <c r="B296" s="196" t="s">
        <v>1253</v>
      </c>
      <c r="C296" s="2" t="s">
        <v>1463</v>
      </c>
      <c r="D296" s="2" t="str">
        <f t="shared" si="39"/>
        <v>Pierre THYS</v>
      </c>
      <c r="E296" s="2" t="str">
        <f t="shared" si="40"/>
        <v>THYS Pierre</v>
      </c>
      <c r="F296" s="9">
        <v>14</v>
      </c>
      <c r="G296" s="9" t="s">
        <v>84</v>
      </c>
      <c r="H296" s="214">
        <v>227803</v>
      </c>
      <c r="I296" s="4" t="s">
        <v>1052</v>
      </c>
      <c r="J296" s="217" t="s">
        <v>1540</v>
      </c>
      <c r="K296" s="21">
        <v>17823</v>
      </c>
      <c r="L296" s="23">
        <f t="shared" si="41"/>
        <v>68</v>
      </c>
      <c r="M296" s="23">
        <f t="shared" si="45"/>
        <v>82</v>
      </c>
      <c r="N296" s="8" t="str">
        <f ca="1" t="shared" si="42"/>
        <v> </v>
      </c>
      <c r="O296" s="8" t="str">
        <f t="shared" si="46"/>
        <v> </v>
      </c>
      <c r="P296" s="8" t="s">
        <v>1540</v>
      </c>
      <c r="Q296" s="2" t="s">
        <v>276</v>
      </c>
      <c r="R296" s="3">
        <v>1640</v>
      </c>
      <c r="S296" s="2" t="s">
        <v>345</v>
      </c>
      <c r="T296" s="2" t="s">
        <v>773</v>
      </c>
      <c r="U296" s="2" t="s">
        <v>774</v>
      </c>
      <c r="V296" s="9">
        <v>14</v>
      </c>
      <c r="W296" s="5">
        <f t="shared" si="43"/>
        <v>0</v>
      </c>
      <c r="X296" s="6">
        <f t="shared" si="44"/>
        <v>0</v>
      </c>
    </row>
    <row r="297" spans="1:24" ht="12">
      <c r="A297" s="2" t="s">
        <v>1092</v>
      </c>
      <c r="B297" s="196" t="s">
        <v>1441</v>
      </c>
      <c r="C297" s="2" t="s">
        <v>1464</v>
      </c>
      <c r="D297" s="2" t="str">
        <f t="shared" si="39"/>
        <v>Jean-Paul TIMMERMANS</v>
      </c>
      <c r="E297" s="2" t="str">
        <f t="shared" si="40"/>
        <v>TIMMERMANS Jean-Paul</v>
      </c>
      <c r="F297" s="9">
        <v>25.2</v>
      </c>
      <c r="G297" s="9" t="s">
        <v>83</v>
      </c>
      <c r="H297" s="214">
        <v>227805</v>
      </c>
      <c r="I297" s="4" t="s">
        <v>1053</v>
      </c>
      <c r="J297" s="217"/>
      <c r="K297" s="21">
        <v>13987</v>
      </c>
      <c r="L297" s="23">
        <f t="shared" si="41"/>
        <v>79</v>
      </c>
      <c r="M297" s="23">
        <f t="shared" si="45"/>
        <v>104.2</v>
      </c>
      <c r="N297" s="8" t="str">
        <f ca="1" t="shared" si="42"/>
        <v> </v>
      </c>
      <c r="O297" s="8" t="str">
        <f t="shared" si="46"/>
        <v> </v>
      </c>
      <c r="P297" s="8"/>
      <c r="Q297" s="2" t="s">
        <v>799</v>
      </c>
      <c r="R297" s="3">
        <v>1420</v>
      </c>
      <c r="S297" s="2" t="s">
        <v>535</v>
      </c>
      <c r="T297" s="2" t="s">
        <v>504</v>
      </c>
      <c r="U297" s="2" t="s">
        <v>618</v>
      </c>
      <c r="V297" s="9">
        <v>25.2</v>
      </c>
      <c r="W297" s="5">
        <f t="shared" si="43"/>
        <v>0</v>
      </c>
      <c r="X297" s="6">
        <f t="shared" si="44"/>
        <v>0</v>
      </c>
    </row>
    <row r="298" spans="1:24" ht="12">
      <c r="A298" s="2" t="s">
        <v>1093</v>
      </c>
      <c r="B298" s="196" t="s">
        <v>1222</v>
      </c>
      <c r="C298" s="2" t="s">
        <v>1465</v>
      </c>
      <c r="D298" s="2" t="str">
        <f t="shared" si="39"/>
        <v>Anne TOMBEUR </v>
      </c>
      <c r="E298" s="2" t="str">
        <f t="shared" si="40"/>
        <v>TOMBEUR  Anne</v>
      </c>
      <c r="F298" s="9">
        <v>18.8</v>
      </c>
      <c r="G298" s="9" t="s">
        <v>84</v>
      </c>
      <c r="H298" s="214">
        <v>227810</v>
      </c>
      <c r="I298" s="4" t="s">
        <v>1144</v>
      </c>
      <c r="J298" s="217" t="s">
        <v>1540</v>
      </c>
      <c r="K298" s="21">
        <v>19736</v>
      </c>
      <c r="L298" s="23">
        <f t="shared" si="41"/>
        <v>63</v>
      </c>
      <c r="M298" s="23">
        <f t="shared" si="45"/>
        <v>81.8</v>
      </c>
      <c r="N298" s="8" t="str">
        <f ca="1" t="shared" si="42"/>
        <v> </v>
      </c>
      <c r="O298" s="8" t="str">
        <f t="shared" si="46"/>
        <v> </v>
      </c>
      <c r="P298" s="8" t="s">
        <v>1540</v>
      </c>
      <c r="Q298" s="2" t="s">
        <v>277</v>
      </c>
      <c r="R298" s="3">
        <v>1640</v>
      </c>
      <c r="S298" s="2" t="s">
        <v>345</v>
      </c>
      <c r="T298" s="2" t="s">
        <v>374</v>
      </c>
      <c r="U298" s="2" t="s">
        <v>375</v>
      </c>
      <c r="V298" s="9">
        <v>18.8</v>
      </c>
      <c r="W298" s="5">
        <f t="shared" si="43"/>
        <v>0</v>
      </c>
      <c r="X298" s="6">
        <f t="shared" si="44"/>
        <v>0</v>
      </c>
    </row>
    <row r="299" spans="1:24" ht="12">
      <c r="A299" s="2" t="s">
        <v>1092</v>
      </c>
      <c r="B299" s="196" t="s">
        <v>1146</v>
      </c>
      <c r="C299" s="2" t="s">
        <v>175</v>
      </c>
      <c r="D299" s="2" t="str">
        <f t="shared" si="39"/>
        <v>Michel TROUBETZKOY</v>
      </c>
      <c r="E299" s="2" t="str">
        <f t="shared" si="40"/>
        <v>TROUBETZKOY Michel</v>
      </c>
      <c r="F299" s="9">
        <v>19.3</v>
      </c>
      <c r="G299" s="9"/>
      <c r="H299" s="214">
        <v>258332</v>
      </c>
      <c r="I299" s="4" t="s">
        <v>144</v>
      </c>
      <c r="J299" s="217" t="s">
        <v>1540</v>
      </c>
      <c r="K299" s="21">
        <v>18144</v>
      </c>
      <c r="L299" s="23">
        <f t="shared" si="41"/>
        <v>67</v>
      </c>
      <c r="M299" s="23">
        <f t="shared" si="45"/>
        <v>86.3</v>
      </c>
      <c r="N299" s="8" t="str">
        <f ca="1" t="shared" si="42"/>
        <v> </v>
      </c>
      <c r="O299" s="8" t="str">
        <f t="shared" si="46"/>
        <v> </v>
      </c>
      <c r="P299" s="8" t="s">
        <v>1540</v>
      </c>
      <c r="Q299" s="2" t="s">
        <v>176</v>
      </c>
      <c r="R299" s="3">
        <v>1640</v>
      </c>
      <c r="S299" s="2" t="s">
        <v>345</v>
      </c>
      <c r="T299" s="2" t="s">
        <v>126</v>
      </c>
      <c r="U299" s="2" t="s">
        <v>127</v>
      </c>
      <c r="V299" s="9">
        <v>19.3</v>
      </c>
      <c r="W299" s="5">
        <f t="shared" si="43"/>
        <v>0</v>
      </c>
      <c r="X299" s="6">
        <f t="shared" si="44"/>
        <v>0</v>
      </c>
    </row>
    <row r="300" spans="1:25" s="211" customFormat="1" ht="12">
      <c r="A300" s="2" t="s">
        <v>1092</v>
      </c>
      <c r="B300" s="196" t="s">
        <v>1170</v>
      </c>
      <c r="C300" s="2" t="s">
        <v>1466</v>
      </c>
      <c r="D300" s="2" t="str">
        <f t="shared" si="39"/>
        <v>Alain VAES </v>
      </c>
      <c r="E300" s="2" t="str">
        <f t="shared" si="40"/>
        <v>VAES  Alain</v>
      </c>
      <c r="F300" s="9">
        <v>22.2</v>
      </c>
      <c r="G300" s="9" t="s">
        <v>84</v>
      </c>
      <c r="H300" s="214">
        <v>712245</v>
      </c>
      <c r="I300" s="4" t="s">
        <v>1054</v>
      </c>
      <c r="J300" s="217"/>
      <c r="K300" s="21">
        <v>15903</v>
      </c>
      <c r="L300" s="23">
        <f t="shared" si="41"/>
        <v>73</v>
      </c>
      <c r="M300" s="23">
        <f aca="true" t="shared" si="47" ref="M300:M320">L300+F300</f>
        <v>95.2</v>
      </c>
      <c r="N300" s="8" t="str">
        <f ca="1" t="shared" si="42"/>
        <v> </v>
      </c>
      <c r="O300" s="8" t="str">
        <f t="shared" si="46"/>
        <v> </v>
      </c>
      <c r="P300" s="8" t="s">
        <v>1540</v>
      </c>
      <c r="Q300" s="2" t="s">
        <v>278</v>
      </c>
      <c r="R300" s="3">
        <v>1640</v>
      </c>
      <c r="S300" s="2" t="s">
        <v>345</v>
      </c>
      <c r="T300" s="2" t="s">
        <v>557</v>
      </c>
      <c r="U300" s="2"/>
      <c r="V300" s="9">
        <v>22.2</v>
      </c>
      <c r="W300" s="5">
        <f t="shared" si="43"/>
        <v>0</v>
      </c>
      <c r="X300" s="6">
        <f t="shared" si="44"/>
        <v>0</v>
      </c>
      <c r="Y300" s="194"/>
    </row>
    <row r="301" spans="1:25" s="211" customFormat="1" ht="12">
      <c r="A301" s="201" t="s">
        <v>1093</v>
      </c>
      <c r="B301" s="202" t="s">
        <v>1379</v>
      </c>
      <c r="C301" s="201" t="s">
        <v>139</v>
      </c>
      <c r="D301" s="201" t="str">
        <f t="shared" si="39"/>
        <v>Danielle VAN BEERS</v>
      </c>
      <c r="E301" s="201" t="str">
        <f t="shared" si="40"/>
        <v>VAN BEERS Danielle</v>
      </c>
      <c r="F301" s="203">
        <v>17</v>
      </c>
      <c r="G301" s="203"/>
      <c r="H301" s="215">
        <v>227825</v>
      </c>
      <c r="I301" s="4" t="s">
        <v>170</v>
      </c>
      <c r="J301" s="217" t="s">
        <v>1540</v>
      </c>
      <c r="K301" s="204">
        <v>16629</v>
      </c>
      <c r="L301" s="205">
        <f t="shared" si="41"/>
        <v>71</v>
      </c>
      <c r="M301" s="205">
        <f t="shared" si="47"/>
        <v>88</v>
      </c>
      <c r="N301" s="206" t="str">
        <f ca="1" t="shared" si="42"/>
        <v> </v>
      </c>
      <c r="O301" s="206" t="str">
        <f t="shared" si="46"/>
        <v> </v>
      </c>
      <c r="P301" s="206"/>
      <c r="Q301" s="201" t="s">
        <v>140</v>
      </c>
      <c r="R301" s="207">
        <v>1640</v>
      </c>
      <c r="S301" s="201" t="s">
        <v>345</v>
      </c>
      <c r="T301" s="201" t="s">
        <v>141</v>
      </c>
      <c r="U301" s="201" t="s">
        <v>142</v>
      </c>
      <c r="V301" s="203">
        <v>17</v>
      </c>
      <c r="W301" s="208">
        <f t="shared" si="43"/>
        <v>0</v>
      </c>
      <c r="X301" s="209">
        <f t="shared" si="44"/>
        <v>0</v>
      </c>
      <c r="Y301" s="210"/>
    </row>
    <row r="302" spans="1:25" ht="12">
      <c r="A302" s="201" t="s">
        <v>1093</v>
      </c>
      <c r="B302" s="202" t="s">
        <v>1858</v>
      </c>
      <c r="C302" s="201" t="s">
        <v>1859</v>
      </c>
      <c r="D302" s="201" t="str">
        <f t="shared" si="39"/>
        <v>Berlinda  VAN BUGGENHOUDT</v>
      </c>
      <c r="E302" s="201" t="str">
        <f t="shared" si="40"/>
        <v>VAN BUGGENHOUDT Berlinda </v>
      </c>
      <c r="F302" s="203">
        <v>31.9</v>
      </c>
      <c r="G302" s="203" t="s">
        <v>84</v>
      </c>
      <c r="H302" s="215">
        <v>261883</v>
      </c>
      <c r="I302" s="4" t="s">
        <v>1866</v>
      </c>
      <c r="J302" s="217"/>
      <c r="K302" s="204">
        <v>19124</v>
      </c>
      <c r="L302" s="205">
        <f t="shared" si="41"/>
        <v>65</v>
      </c>
      <c r="M302" s="205">
        <f t="shared" si="47"/>
        <v>96.9</v>
      </c>
      <c r="N302" s="206" t="str">
        <f ca="1" t="shared" si="42"/>
        <v> </v>
      </c>
      <c r="O302" s="206" t="str">
        <f t="shared" si="46"/>
        <v> </v>
      </c>
      <c r="P302" s="206"/>
      <c r="Q302" s="201" t="s">
        <v>1869</v>
      </c>
      <c r="R302" s="207">
        <v>1780</v>
      </c>
      <c r="S302" s="201" t="s">
        <v>1870</v>
      </c>
      <c r="T302" s="201"/>
      <c r="U302" s="201" t="s">
        <v>1868</v>
      </c>
      <c r="V302" s="203">
        <v>31.9</v>
      </c>
      <c r="W302" s="208">
        <f t="shared" si="43"/>
        <v>0</v>
      </c>
      <c r="X302" s="209">
        <f t="shared" si="44"/>
        <v>0</v>
      </c>
      <c r="Y302" s="210"/>
    </row>
    <row r="303" spans="1:24" ht="12">
      <c r="A303" s="2" t="s">
        <v>1093</v>
      </c>
      <c r="B303" s="196" t="s">
        <v>1263</v>
      </c>
      <c r="C303" s="2" t="s">
        <v>151</v>
      </c>
      <c r="D303" s="2" t="str">
        <f t="shared" si="39"/>
        <v>Claire VAN DAMME-VAN der BORGHT</v>
      </c>
      <c r="E303" s="2" t="str">
        <f t="shared" si="40"/>
        <v>VAN DAMME-VAN der BORGHT Claire</v>
      </c>
      <c r="F303" s="9">
        <v>30.8</v>
      </c>
      <c r="G303" s="9" t="s">
        <v>84</v>
      </c>
      <c r="H303" s="214">
        <v>227901</v>
      </c>
      <c r="I303" s="4" t="s">
        <v>1056</v>
      </c>
      <c r="J303" s="217"/>
      <c r="K303" s="21">
        <v>14444</v>
      </c>
      <c r="L303" s="23">
        <f t="shared" si="41"/>
        <v>77</v>
      </c>
      <c r="M303" s="23">
        <f t="shared" si="47"/>
        <v>107.8</v>
      </c>
      <c r="N303" s="8" t="str">
        <f ca="1" t="shared" si="42"/>
        <v> </v>
      </c>
      <c r="O303" s="8" t="str">
        <f t="shared" si="46"/>
        <v> </v>
      </c>
      <c r="P303" s="8"/>
      <c r="Q303" s="2" t="s">
        <v>280</v>
      </c>
      <c r="R303" s="3">
        <v>1150</v>
      </c>
      <c r="S303" s="2" t="s">
        <v>546</v>
      </c>
      <c r="T303" s="2" t="s">
        <v>619</v>
      </c>
      <c r="U303" s="2" t="s">
        <v>457</v>
      </c>
      <c r="V303" s="9">
        <v>30.8</v>
      </c>
      <c r="W303" s="5">
        <f t="shared" si="43"/>
        <v>0</v>
      </c>
      <c r="X303" s="6">
        <f t="shared" si="44"/>
        <v>0</v>
      </c>
    </row>
    <row r="304" spans="1:24" ht="12">
      <c r="A304" s="2" t="s">
        <v>1093</v>
      </c>
      <c r="B304" s="196" t="s">
        <v>1311</v>
      </c>
      <c r="C304" s="2" t="s">
        <v>1467</v>
      </c>
      <c r="D304" s="2" t="str">
        <f t="shared" si="39"/>
        <v>Edith van de VENNE</v>
      </c>
      <c r="E304" s="2" t="str">
        <f t="shared" si="40"/>
        <v>van de VENNE Edith</v>
      </c>
      <c r="F304" s="9">
        <v>29.4</v>
      </c>
      <c r="G304" s="9" t="s">
        <v>84</v>
      </c>
      <c r="H304" s="214">
        <v>227132</v>
      </c>
      <c r="I304" s="4" t="s">
        <v>1055</v>
      </c>
      <c r="J304" s="217" t="s">
        <v>1540</v>
      </c>
      <c r="K304" s="21">
        <v>15323</v>
      </c>
      <c r="L304" s="23">
        <f t="shared" si="41"/>
        <v>75</v>
      </c>
      <c r="M304" s="23">
        <f t="shared" si="47"/>
        <v>104.4</v>
      </c>
      <c r="N304" s="8" t="str">
        <f ca="1" t="shared" si="42"/>
        <v> </v>
      </c>
      <c r="O304" s="8" t="str">
        <f t="shared" si="46"/>
        <v> </v>
      </c>
      <c r="P304" s="8" t="s">
        <v>1540</v>
      </c>
      <c r="Q304" s="2" t="s">
        <v>797</v>
      </c>
      <c r="R304" s="3">
        <v>1180</v>
      </c>
      <c r="S304" s="2" t="s">
        <v>546</v>
      </c>
      <c r="T304" s="2" t="s">
        <v>376</v>
      </c>
      <c r="U304" s="2"/>
      <c r="V304" s="9">
        <v>29.4</v>
      </c>
      <c r="W304" s="5">
        <f t="shared" si="43"/>
        <v>0</v>
      </c>
      <c r="X304" s="6">
        <f t="shared" si="44"/>
        <v>0</v>
      </c>
    </row>
    <row r="305" spans="1:24" ht="12">
      <c r="A305" s="2" t="s">
        <v>1092</v>
      </c>
      <c r="B305" s="196" t="s">
        <v>1779</v>
      </c>
      <c r="C305" s="2" t="s">
        <v>1780</v>
      </c>
      <c r="D305" s="2" t="str">
        <f t="shared" si="39"/>
        <v>Hubert VAN DELFT</v>
      </c>
      <c r="E305" s="2" t="str">
        <f t="shared" si="40"/>
        <v>VAN DELFT Hubert</v>
      </c>
      <c r="F305" s="9">
        <v>25</v>
      </c>
      <c r="G305" s="9" t="s">
        <v>84</v>
      </c>
      <c r="H305" s="214">
        <v>245718</v>
      </c>
      <c r="I305" s="4" t="s">
        <v>1807</v>
      </c>
      <c r="J305" s="217" t="s">
        <v>1540</v>
      </c>
      <c r="K305" s="21">
        <v>20000</v>
      </c>
      <c r="L305" s="23">
        <f t="shared" si="41"/>
        <v>62</v>
      </c>
      <c r="M305" s="23">
        <f t="shared" si="47"/>
        <v>87</v>
      </c>
      <c r="N305" s="8" t="str">
        <f ca="1" t="shared" si="42"/>
        <v> </v>
      </c>
      <c r="O305" s="8" t="str">
        <f t="shared" si="46"/>
        <v> </v>
      </c>
      <c r="P305" s="8" t="s">
        <v>1540</v>
      </c>
      <c r="Q305" s="2" t="s">
        <v>1990</v>
      </c>
      <c r="R305" s="3">
        <v>1150</v>
      </c>
      <c r="S305" s="2" t="s">
        <v>1989</v>
      </c>
      <c r="T305" s="2"/>
      <c r="U305" s="2" t="s">
        <v>1804</v>
      </c>
      <c r="V305" s="9">
        <v>25</v>
      </c>
      <c r="W305" s="5">
        <f t="shared" si="43"/>
        <v>0</v>
      </c>
      <c r="X305" s="6">
        <f t="shared" si="44"/>
        <v>0</v>
      </c>
    </row>
    <row r="306" spans="1:24" ht="12">
      <c r="A306" s="2" t="s">
        <v>1092</v>
      </c>
      <c r="B306" s="196" t="s">
        <v>1373</v>
      </c>
      <c r="C306" s="2" t="s">
        <v>1468</v>
      </c>
      <c r="D306" s="2" t="str">
        <f t="shared" si="39"/>
        <v>Georges VAN der BORGHT</v>
      </c>
      <c r="E306" s="2" t="str">
        <f t="shared" si="40"/>
        <v>VAN der BORGHT Georges</v>
      </c>
      <c r="F306" s="9">
        <v>26.4</v>
      </c>
      <c r="G306" s="9" t="s">
        <v>84</v>
      </c>
      <c r="H306" s="214">
        <v>227900</v>
      </c>
      <c r="I306" s="4" t="s">
        <v>1057</v>
      </c>
      <c r="J306" s="217"/>
      <c r="K306" s="21">
        <v>12409</v>
      </c>
      <c r="L306" s="23">
        <f t="shared" si="41"/>
        <v>83</v>
      </c>
      <c r="M306" s="23">
        <f t="shared" si="47"/>
        <v>109.4</v>
      </c>
      <c r="N306" s="8" t="str">
        <f ca="1" t="shared" si="42"/>
        <v> </v>
      </c>
      <c r="O306" s="8" t="str">
        <f t="shared" si="46"/>
        <v> </v>
      </c>
      <c r="P306" s="8"/>
      <c r="Q306" s="2" t="s">
        <v>280</v>
      </c>
      <c r="R306" s="3">
        <v>1150</v>
      </c>
      <c r="S306" s="2" t="s">
        <v>546</v>
      </c>
      <c r="T306" s="2" t="s">
        <v>619</v>
      </c>
      <c r="U306" s="2" t="s">
        <v>677</v>
      </c>
      <c r="V306" s="9">
        <v>26.4</v>
      </c>
      <c r="W306" s="5">
        <f t="shared" si="43"/>
        <v>0</v>
      </c>
      <c r="X306" s="6">
        <f t="shared" si="44"/>
        <v>0</v>
      </c>
    </row>
    <row r="307" spans="1:24" ht="12">
      <c r="A307" s="2" t="s">
        <v>1093</v>
      </c>
      <c r="B307" s="196" t="s">
        <v>1442</v>
      </c>
      <c r="C307" s="2" t="s">
        <v>1469</v>
      </c>
      <c r="D307" s="2" t="str">
        <f t="shared" si="39"/>
        <v>Kristin van der HAERT</v>
      </c>
      <c r="E307" s="2" t="str">
        <f t="shared" si="40"/>
        <v>van der HAERT Kristin</v>
      </c>
      <c r="F307" s="9">
        <v>22.4</v>
      </c>
      <c r="G307" s="9" t="s">
        <v>84</v>
      </c>
      <c r="H307" s="214">
        <v>227846</v>
      </c>
      <c r="I307" s="4" t="s">
        <v>1058</v>
      </c>
      <c r="J307" s="217"/>
      <c r="K307" s="21">
        <v>21193</v>
      </c>
      <c r="L307" s="23">
        <f t="shared" si="41"/>
        <v>59</v>
      </c>
      <c r="M307" s="23">
        <f t="shared" si="47"/>
        <v>81.4</v>
      </c>
      <c r="N307" s="8" t="str">
        <f ca="1" t="shared" si="42"/>
        <v> </v>
      </c>
      <c r="O307" s="8" t="str">
        <f t="shared" si="46"/>
        <v> </v>
      </c>
      <c r="P307" s="8"/>
      <c r="Q307" s="2" t="s">
        <v>282</v>
      </c>
      <c r="R307" s="3">
        <v>1652</v>
      </c>
      <c r="S307" s="2" t="s">
        <v>542</v>
      </c>
      <c r="T307" s="2" t="s">
        <v>755</v>
      </c>
      <c r="U307" s="2" t="s">
        <v>756</v>
      </c>
      <c r="V307" s="9">
        <v>22.4</v>
      </c>
      <c r="W307" s="5">
        <f t="shared" si="43"/>
        <v>0</v>
      </c>
      <c r="X307" s="6">
        <f t="shared" si="44"/>
        <v>0</v>
      </c>
    </row>
    <row r="308" spans="1:24" ht="12">
      <c r="A308" s="2" t="s">
        <v>1093</v>
      </c>
      <c r="B308" s="196" t="s">
        <v>1379</v>
      </c>
      <c r="C308" s="2" t="s">
        <v>1470</v>
      </c>
      <c r="D308" s="2" t="str">
        <f t="shared" si="39"/>
        <v>Danielle VAN DER KELEN </v>
      </c>
      <c r="E308" s="2" t="str">
        <f t="shared" si="40"/>
        <v>VAN DER KELEN  Danielle</v>
      </c>
      <c r="F308" s="9">
        <v>14.5</v>
      </c>
      <c r="G308" s="9" t="s">
        <v>84</v>
      </c>
      <c r="H308" s="214">
        <v>179761</v>
      </c>
      <c r="I308" s="4" t="s">
        <v>1059</v>
      </c>
      <c r="J308" s="217" t="s">
        <v>1540</v>
      </c>
      <c r="K308" s="21">
        <v>15484</v>
      </c>
      <c r="L308" s="23">
        <f t="shared" si="41"/>
        <v>75</v>
      </c>
      <c r="M308" s="23">
        <f t="shared" si="47"/>
        <v>89.5</v>
      </c>
      <c r="N308" s="8" t="str">
        <f ca="1" t="shared" si="42"/>
        <v> </v>
      </c>
      <c r="O308" s="8" t="str">
        <f t="shared" si="46"/>
        <v> </v>
      </c>
      <c r="P308" s="8" t="s">
        <v>1540</v>
      </c>
      <c r="Q308" s="2" t="s">
        <v>283</v>
      </c>
      <c r="R308" s="3">
        <v>1150</v>
      </c>
      <c r="S308" s="2" t="s">
        <v>546</v>
      </c>
      <c r="T308" s="2" t="s">
        <v>547</v>
      </c>
      <c r="U308" s="2" t="s">
        <v>620</v>
      </c>
      <c r="V308" s="9">
        <v>14.5</v>
      </c>
      <c r="W308" s="5">
        <f t="shared" si="43"/>
        <v>0</v>
      </c>
      <c r="X308" s="6">
        <f t="shared" si="44"/>
        <v>0</v>
      </c>
    </row>
    <row r="309" spans="1:24" ht="12">
      <c r="A309" s="2" t="s">
        <v>1092</v>
      </c>
      <c r="B309" s="196" t="s">
        <v>1342</v>
      </c>
      <c r="C309" s="2" t="s">
        <v>1471</v>
      </c>
      <c r="D309" s="2" t="str">
        <f t="shared" si="39"/>
        <v>Philippe VAN DOOSSELAERE</v>
      </c>
      <c r="E309" s="2" t="str">
        <f t="shared" si="40"/>
        <v>VAN DOOSSELAERE Philippe</v>
      </c>
      <c r="F309" s="9">
        <v>15.2</v>
      </c>
      <c r="G309" s="9" t="s">
        <v>84</v>
      </c>
      <c r="H309" s="214">
        <v>194046</v>
      </c>
      <c r="I309" s="4" t="s">
        <v>1060</v>
      </c>
      <c r="J309" s="217" t="s">
        <v>1540</v>
      </c>
      <c r="K309" s="21">
        <v>16881</v>
      </c>
      <c r="L309" s="23">
        <f t="shared" si="41"/>
        <v>71</v>
      </c>
      <c r="M309" s="23">
        <f t="shared" si="47"/>
        <v>86.2</v>
      </c>
      <c r="N309" s="8" t="str">
        <f ca="1" t="shared" si="42"/>
        <v> </v>
      </c>
      <c r="O309" s="8" t="str">
        <f t="shared" si="46"/>
        <v> </v>
      </c>
      <c r="P309" s="8" t="s">
        <v>1540</v>
      </c>
      <c r="Q309" s="2" t="s">
        <v>285</v>
      </c>
      <c r="R309" s="3">
        <v>1180</v>
      </c>
      <c r="S309" s="2" t="s">
        <v>546</v>
      </c>
      <c r="T309" s="2" t="s">
        <v>729</v>
      </c>
      <c r="U309" s="2" t="s">
        <v>730</v>
      </c>
      <c r="V309" s="9">
        <v>15.2</v>
      </c>
      <c r="W309" s="5">
        <f t="shared" si="43"/>
        <v>0</v>
      </c>
      <c r="X309" s="6">
        <f t="shared" si="44"/>
        <v>0</v>
      </c>
    </row>
    <row r="310" spans="1:24" ht="12">
      <c r="A310" s="2" t="s">
        <v>1093</v>
      </c>
      <c r="B310" s="196" t="s">
        <v>1443</v>
      </c>
      <c r="C310" s="2" t="s">
        <v>1472</v>
      </c>
      <c r="D310" s="2" t="str">
        <f t="shared" si="39"/>
        <v>Annick VAN ELEGHEM </v>
      </c>
      <c r="E310" s="2" t="str">
        <f t="shared" si="40"/>
        <v>VAN ELEGHEM  Annick</v>
      </c>
      <c r="F310" s="9">
        <v>16.6</v>
      </c>
      <c r="G310" s="9" t="s">
        <v>83</v>
      </c>
      <c r="H310" s="214">
        <v>227853</v>
      </c>
      <c r="I310" s="4" t="s">
        <v>1061</v>
      </c>
      <c r="J310" s="217"/>
      <c r="K310" s="21">
        <v>18032</v>
      </c>
      <c r="L310" s="23">
        <f t="shared" si="41"/>
        <v>68</v>
      </c>
      <c r="M310" s="23">
        <f t="shared" si="47"/>
        <v>84.6</v>
      </c>
      <c r="N310" s="8" t="str">
        <f ca="1" t="shared" si="42"/>
        <v> </v>
      </c>
      <c r="O310" s="8" t="str">
        <f t="shared" si="46"/>
        <v> </v>
      </c>
      <c r="P310" s="8"/>
      <c r="Q310" s="2" t="s">
        <v>865</v>
      </c>
      <c r="R310" s="3">
        <v>1410</v>
      </c>
      <c r="S310" s="2" t="s">
        <v>534</v>
      </c>
      <c r="T310" s="2" t="s">
        <v>866</v>
      </c>
      <c r="U310" s="2" t="s">
        <v>867</v>
      </c>
      <c r="V310" s="9">
        <v>16.6</v>
      </c>
      <c r="W310" s="5">
        <f t="shared" si="43"/>
        <v>0</v>
      </c>
      <c r="X310" s="6">
        <f t="shared" si="44"/>
        <v>0</v>
      </c>
    </row>
    <row r="311" spans="1:24" ht="12">
      <c r="A311" s="2" t="s">
        <v>1093</v>
      </c>
      <c r="B311" s="196" t="s">
        <v>1303</v>
      </c>
      <c r="C311" s="2" t="s">
        <v>1473</v>
      </c>
      <c r="D311" s="2" t="str">
        <f t="shared" si="39"/>
        <v>Nicole VAN HAMME</v>
      </c>
      <c r="E311" s="2" t="str">
        <f t="shared" si="40"/>
        <v>VAN HAMME Nicole</v>
      </c>
      <c r="F311" s="9">
        <v>33.2</v>
      </c>
      <c r="G311" s="9" t="s">
        <v>84</v>
      </c>
      <c r="H311" s="214">
        <v>227860</v>
      </c>
      <c r="I311" s="4" t="s">
        <v>1062</v>
      </c>
      <c r="J311" s="217" t="s">
        <v>1540</v>
      </c>
      <c r="K311" s="21">
        <v>14625</v>
      </c>
      <c r="L311" s="23">
        <f t="shared" si="41"/>
        <v>77</v>
      </c>
      <c r="M311" s="23">
        <f t="shared" si="47"/>
        <v>110.2</v>
      </c>
      <c r="N311" s="8" t="str">
        <f ca="1" t="shared" si="42"/>
        <v> </v>
      </c>
      <c r="O311" s="8" t="str">
        <f t="shared" si="46"/>
        <v> </v>
      </c>
      <c r="P311" s="8" t="s">
        <v>1540</v>
      </c>
      <c r="Q311" s="2" t="s">
        <v>286</v>
      </c>
      <c r="R311" s="3">
        <v>1170</v>
      </c>
      <c r="S311" s="2" t="s">
        <v>546</v>
      </c>
      <c r="T311" s="2" t="s">
        <v>409</v>
      </c>
      <c r="U311" s="2" t="s">
        <v>606</v>
      </c>
      <c r="V311" s="9">
        <v>33.2</v>
      </c>
      <c r="W311" s="5">
        <f t="shared" si="43"/>
        <v>0</v>
      </c>
      <c r="X311" s="6">
        <f t="shared" si="44"/>
        <v>0</v>
      </c>
    </row>
    <row r="312" spans="1:24" ht="12">
      <c r="A312" s="2" t="s">
        <v>1092</v>
      </c>
      <c r="B312" s="196" t="s">
        <v>1232</v>
      </c>
      <c r="C312" s="2" t="s">
        <v>1473</v>
      </c>
      <c r="D312" s="2" t="str">
        <f t="shared" si="39"/>
        <v>Patrick VAN HAMME</v>
      </c>
      <c r="E312" s="2" t="str">
        <f t="shared" si="40"/>
        <v>VAN HAMME Patrick</v>
      </c>
      <c r="F312" s="9">
        <v>33.900001525878906</v>
      </c>
      <c r="G312" s="9" t="s">
        <v>83</v>
      </c>
      <c r="H312" s="214">
        <v>227859</v>
      </c>
      <c r="I312" s="4" t="s">
        <v>1062</v>
      </c>
      <c r="J312" s="217" t="s">
        <v>1540</v>
      </c>
      <c r="K312" s="21">
        <v>13788</v>
      </c>
      <c r="L312" s="23">
        <f t="shared" si="41"/>
        <v>79</v>
      </c>
      <c r="M312" s="23">
        <f t="shared" si="47"/>
        <v>112.9000015258789</v>
      </c>
      <c r="N312" s="8" t="str">
        <f ca="1" t="shared" si="42"/>
        <v> </v>
      </c>
      <c r="O312" s="8" t="str">
        <f t="shared" si="46"/>
        <v> </v>
      </c>
      <c r="P312" s="8" t="s">
        <v>1540</v>
      </c>
      <c r="Q312" s="2" t="s">
        <v>286</v>
      </c>
      <c r="R312" s="3">
        <v>1170</v>
      </c>
      <c r="S312" s="2" t="s">
        <v>546</v>
      </c>
      <c r="T312" s="2" t="s">
        <v>409</v>
      </c>
      <c r="U312" s="2" t="s">
        <v>607</v>
      </c>
      <c r="V312" s="9">
        <v>33.900001525878906</v>
      </c>
      <c r="W312" s="5">
        <f t="shared" si="43"/>
        <v>0</v>
      </c>
      <c r="X312" s="6">
        <f t="shared" si="44"/>
        <v>0</v>
      </c>
    </row>
    <row r="313" spans="1:24" ht="12">
      <c r="A313" s="2" t="s">
        <v>1093</v>
      </c>
      <c r="B313" s="196" t="s">
        <v>1169</v>
      </c>
      <c r="C313" s="2" t="s">
        <v>1474</v>
      </c>
      <c r="D313" s="2" t="str">
        <f t="shared" si="39"/>
        <v>Martine van HOUTRYVE</v>
      </c>
      <c r="E313" s="2" t="str">
        <f t="shared" si="40"/>
        <v>van HOUTRYVE Martine</v>
      </c>
      <c r="F313" s="9">
        <v>17.1</v>
      </c>
      <c r="G313" s="9" t="s">
        <v>84</v>
      </c>
      <c r="H313" s="214">
        <v>227865</v>
      </c>
      <c r="I313" s="4" t="s">
        <v>1063</v>
      </c>
      <c r="J313" s="217" t="s">
        <v>1540</v>
      </c>
      <c r="K313" s="21">
        <v>19416</v>
      </c>
      <c r="L313" s="23">
        <f t="shared" si="41"/>
        <v>64</v>
      </c>
      <c r="M313" s="23">
        <f t="shared" si="47"/>
        <v>81.1</v>
      </c>
      <c r="N313" s="8" t="str">
        <f ca="1" t="shared" si="42"/>
        <v> </v>
      </c>
      <c r="O313" s="8" t="str">
        <f t="shared" si="46"/>
        <v> </v>
      </c>
      <c r="P313" s="8" t="s">
        <v>1540</v>
      </c>
      <c r="Q313" s="2" t="s">
        <v>287</v>
      </c>
      <c r="R313" s="3">
        <v>1652</v>
      </c>
      <c r="S313" s="2" t="s">
        <v>542</v>
      </c>
      <c r="T313" s="2" t="s">
        <v>471</v>
      </c>
      <c r="U313" s="2" t="s">
        <v>780</v>
      </c>
      <c r="V313" s="9">
        <v>17.1</v>
      </c>
      <c r="W313" s="5">
        <f t="shared" si="43"/>
        <v>0</v>
      </c>
      <c r="X313" s="6">
        <f t="shared" si="44"/>
        <v>0</v>
      </c>
    </row>
    <row r="314" spans="1:24" ht="12">
      <c r="A314" s="2" t="s">
        <v>1092</v>
      </c>
      <c r="B314" s="196" t="s">
        <v>1232</v>
      </c>
      <c r="C314" s="2" t="s">
        <v>1474</v>
      </c>
      <c r="D314" s="2" t="str">
        <f t="shared" si="39"/>
        <v>Patrick van HOUTRYVE</v>
      </c>
      <c r="E314" s="2" t="str">
        <f t="shared" si="40"/>
        <v>van HOUTRYVE Patrick</v>
      </c>
      <c r="F314" s="9">
        <v>26.8</v>
      </c>
      <c r="G314" s="9" t="s">
        <v>84</v>
      </c>
      <c r="H314" s="214">
        <v>227864</v>
      </c>
      <c r="I314" s="4" t="s">
        <v>1987</v>
      </c>
      <c r="J314" s="217" t="s">
        <v>1540</v>
      </c>
      <c r="K314" s="21">
        <v>16470</v>
      </c>
      <c r="L314" s="23">
        <f t="shared" si="41"/>
        <v>72</v>
      </c>
      <c r="M314" s="23">
        <f t="shared" si="47"/>
        <v>98.8</v>
      </c>
      <c r="N314" s="8" t="str">
        <f ca="1" t="shared" si="42"/>
        <v> </v>
      </c>
      <c r="O314" s="8" t="str">
        <f t="shared" si="46"/>
        <v> </v>
      </c>
      <c r="P314" s="8" t="s">
        <v>1540</v>
      </c>
      <c r="Q314" s="2" t="s">
        <v>287</v>
      </c>
      <c r="R314" s="3">
        <v>1652</v>
      </c>
      <c r="S314" s="2" t="s">
        <v>542</v>
      </c>
      <c r="T314" s="2" t="s">
        <v>471</v>
      </c>
      <c r="U314" s="2" t="s">
        <v>472</v>
      </c>
      <c r="V314" s="9">
        <v>26.8</v>
      </c>
      <c r="W314" s="5">
        <f t="shared" si="43"/>
        <v>0</v>
      </c>
      <c r="X314" s="6">
        <f t="shared" si="44"/>
        <v>0</v>
      </c>
    </row>
    <row r="315" spans="1:24" ht="12">
      <c r="A315" s="2" t="s">
        <v>1093</v>
      </c>
      <c r="B315" s="196" t="s">
        <v>1836</v>
      </c>
      <c r="C315" s="2" t="s">
        <v>152</v>
      </c>
      <c r="D315" s="2" t="str">
        <f t="shared" si="39"/>
        <v>Roberta VAN PRAET-WEILL</v>
      </c>
      <c r="E315" s="2" t="str">
        <f t="shared" si="40"/>
        <v>VAN PRAET-WEILL Roberta</v>
      </c>
      <c r="F315" s="9">
        <v>16.3</v>
      </c>
      <c r="G315" s="9" t="s">
        <v>84</v>
      </c>
      <c r="H315" s="214">
        <v>1002405</v>
      </c>
      <c r="I315" s="4" t="s">
        <v>1835</v>
      </c>
      <c r="J315" s="217" t="s">
        <v>1540</v>
      </c>
      <c r="K315" s="21">
        <v>18214</v>
      </c>
      <c r="L315" s="23">
        <f t="shared" si="41"/>
        <v>67</v>
      </c>
      <c r="M315" s="23">
        <f t="shared" si="47"/>
        <v>83.3</v>
      </c>
      <c r="N315" s="8" t="str">
        <f ca="1" t="shared" si="42"/>
        <v> </v>
      </c>
      <c r="O315" s="8" t="str">
        <f t="shared" si="46"/>
        <v> </v>
      </c>
      <c r="P315" s="8"/>
      <c r="Q315" s="2" t="s">
        <v>1837</v>
      </c>
      <c r="R315" s="3">
        <v>1180</v>
      </c>
      <c r="S315" s="2" t="s">
        <v>546</v>
      </c>
      <c r="T315" s="2" t="s">
        <v>1838</v>
      </c>
      <c r="U315" s="2" t="s">
        <v>1839</v>
      </c>
      <c r="V315" s="9">
        <v>16.3</v>
      </c>
      <c r="W315" s="5">
        <f t="shared" si="43"/>
        <v>0</v>
      </c>
      <c r="X315" s="6">
        <f t="shared" si="44"/>
        <v>0</v>
      </c>
    </row>
    <row r="316" spans="1:24" ht="12">
      <c r="A316" s="2" t="s">
        <v>1093</v>
      </c>
      <c r="B316" s="196" t="s">
        <v>1226</v>
      </c>
      <c r="C316" s="2" t="s">
        <v>1484</v>
      </c>
      <c r="D316" s="2" t="str">
        <f t="shared" si="39"/>
        <v>Françoise van SCHOONBEEK</v>
      </c>
      <c r="E316" s="2" t="str">
        <f t="shared" si="40"/>
        <v>van SCHOONBEEK Françoise</v>
      </c>
      <c r="F316" s="9">
        <v>31.1</v>
      </c>
      <c r="G316" s="9" t="s">
        <v>84</v>
      </c>
      <c r="H316" s="214">
        <v>227875</v>
      </c>
      <c r="I316" s="4" t="s">
        <v>1064</v>
      </c>
      <c r="J316" s="217" t="s">
        <v>1540</v>
      </c>
      <c r="K316" s="21">
        <v>14840</v>
      </c>
      <c r="L316" s="23">
        <f t="shared" si="41"/>
        <v>76</v>
      </c>
      <c r="M316" s="23">
        <f t="shared" si="47"/>
        <v>107.1</v>
      </c>
      <c r="N316" s="8" t="str">
        <f ca="1" t="shared" si="42"/>
        <v> </v>
      </c>
      <c r="O316" s="8" t="str">
        <f t="shared" si="46"/>
        <v> </v>
      </c>
      <c r="P316" s="8" t="s">
        <v>1540</v>
      </c>
      <c r="Q316" s="2" t="s">
        <v>288</v>
      </c>
      <c r="R316" s="3">
        <v>1180</v>
      </c>
      <c r="S316" s="2" t="s">
        <v>546</v>
      </c>
      <c r="T316" s="2" t="s">
        <v>634</v>
      </c>
      <c r="U316" s="2" t="s">
        <v>635</v>
      </c>
      <c r="V316" s="9">
        <v>31.1</v>
      </c>
      <c r="W316" s="5">
        <f t="shared" si="43"/>
        <v>0</v>
      </c>
      <c r="X316" s="6">
        <f t="shared" si="44"/>
        <v>0</v>
      </c>
    </row>
    <row r="317" spans="1:24" ht="12">
      <c r="A317" s="2" t="s">
        <v>1093</v>
      </c>
      <c r="B317" s="196" t="s">
        <v>1163</v>
      </c>
      <c r="C317" s="2" t="s">
        <v>1485</v>
      </c>
      <c r="D317" s="2" t="str">
        <f t="shared" si="39"/>
        <v>Francine VAN SCHOOTE </v>
      </c>
      <c r="E317" s="2" t="str">
        <f t="shared" si="40"/>
        <v>VAN SCHOOTE  Francine</v>
      </c>
      <c r="F317" s="9">
        <v>22.8</v>
      </c>
      <c r="G317" s="9" t="s">
        <v>84</v>
      </c>
      <c r="H317" s="214">
        <v>227877</v>
      </c>
      <c r="I317" s="4" t="s">
        <v>1065</v>
      </c>
      <c r="J317" s="217" t="s">
        <v>1540</v>
      </c>
      <c r="K317" s="21">
        <v>16088</v>
      </c>
      <c r="L317" s="23">
        <f t="shared" si="41"/>
        <v>73</v>
      </c>
      <c r="M317" s="23">
        <f t="shared" si="47"/>
        <v>95.8</v>
      </c>
      <c r="N317" s="8" t="str">
        <f ca="1" t="shared" si="42"/>
        <v> </v>
      </c>
      <c r="O317" s="8" t="str">
        <f t="shared" si="46"/>
        <v> </v>
      </c>
      <c r="P317" s="8" t="s">
        <v>1540</v>
      </c>
      <c r="Q317" s="2" t="s">
        <v>289</v>
      </c>
      <c r="R317" s="3">
        <v>1650</v>
      </c>
      <c r="S317" s="2" t="s">
        <v>347</v>
      </c>
      <c r="T317" s="2" t="s">
        <v>659</v>
      </c>
      <c r="U317" s="2" t="s">
        <v>660</v>
      </c>
      <c r="V317" s="9">
        <v>22.8</v>
      </c>
      <c r="W317" s="5">
        <f t="shared" si="43"/>
        <v>0</v>
      </c>
      <c r="X317" s="6">
        <f t="shared" si="44"/>
        <v>0</v>
      </c>
    </row>
    <row r="318" spans="1:25" ht="12">
      <c r="A318" s="2" t="s">
        <v>1093</v>
      </c>
      <c r="B318" s="196" t="s">
        <v>1475</v>
      </c>
      <c r="C318" s="2" t="s">
        <v>1486</v>
      </c>
      <c r="D318" s="2" t="str">
        <f t="shared" si="39"/>
        <v>Marie-Anne VANDAMME</v>
      </c>
      <c r="E318" s="2" t="str">
        <f t="shared" si="40"/>
        <v>VANDAMME Marie-Anne</v>
      </c>
      <c r="F318" s="9">
        <v>36</v>
      </c>
      <c r="G318" s="9" t="s">
        <v>84</v>
      </c>
      <c r="H318" s="214"/>
      <c r="I318" s="4"/>
      <c r="J318" s="217" t="s">
        <v>1540</v>
      </c>
      <c r="K318" s="21">
        <v>13230</v>
      </c>
      <c r="L318" s="23">
        <f t="shared" si="41"/>
        <v>81</v>
      </c>
      <c r="M318" s="23">
        <f t="shared" si="47"/>
        <v>117</v>
      </c>
      <c r="N318" s="8" t="str">
        <f ca="1" t="shared" si="42"/>
        <v> </v>
      </c>
      <c r="O318" s="8" t="str">
        <f t="shared" si="46"/>
        <v> </v>
      </c>
      <c r="P318" s="8"/>
      <c r="Q318" s="2" t="s">
        <v>1120</v>
      </c>
      <c r="R318" s="3">
        <v>1180</v>
      </c>
      <c r="S318" s="2" t="s">
        <v>546</v>
      </c>
      <c r="T318" s="2" t="s">
        <v>1121</v>
      </c>
      <c r="U318" s="2" t="s">
        <v>1122</v>
      </c>
      <c r="V318" s="9">
        <v>36</v>
      </c>
      <c r="W318" s="5">
        <f t="shared" si="43"/>
        <v>0</v>
      </c>
      <c r="X318" s="6">
        <f t="shared" si="44"/>
        <v>0</v>
      </c>
      <c r="Y318" s="212"/>
    </row>
    <row r="319" spans="1:24" ht="12">
      <c r="A319" s="2" t="s">
        <v>1092</v>
      </c>
      <c r="B319" s="196" t="s">
        <v>1350</v>
      </c>
      <c r="C319" s="2" t="s">
        <v>1487</v>
      </c>
      <c r="D319" s="2" t="str">
        <f t="shared" si="39"/>
        <v>Jean-Claude VANDENBOSCH </v>
      </c>
      <c r="E319" s="2" t="str">
        <f t="shared" si="40"/>
        <v>VANDENBOSCH  Jean-Claude</v>
      </c>
      <c r="F319" s="9">
        <v>14.9</v>
      </c>
      <c r="G319" s="9" t="s">
        <v>84</v>
      </c>
      <c r="H319" s="214">
        <v>102478</v>
      </c>
      <c r="I319" s="4" t="s">
        <v>1066</v>
      </c>
      <c r="J319" s="217"/>
      <c r="K319" s="21">
        <v>18782</v>
      </c>
      <c r="L319" s="23">
        <f t="shared" si="41"/>
        <v>66</v>
      </c>
      <c r="M319" s="23">
        <f t="shared" si="47"/>
        <v>80.9</v>
      </c>
      <c r="N319" s="8" t="str">
        <f ca="1" t="shared" si="42"/>
        <v> </v>
      </c>
      <c r="O319" s="8" t="str">
        <f t="shared" si="46"/>
        <v> </v>
      </c>
      <c r="P319" s="8" t="s">
        <v>1540</v>
      </c>
      <c r="Q319" s="2" t="s">
        <v>279</v>
      </c>
      <c r="R319" s="3">
        <v>1650</v>
      </c>
      <c r="S319" s="2" t="s">
        <v>347</v>
      </c>
      <c r="T319" s="2" t="s">
        <v>757</v>
      </c>
      <c r="U319" s="2" t="s">
        <v>758</v>
      </c>
      <c r="V319" s="9">
        <v>14.9</v>
      </c>
      <c r="W319" s="5">
        <f t="shared" si="43"/>
        <v>0</v>
      </c>
      <c r="X319" s="6">
        <f t="shared" si="44"/>
        <v>0</v>
      </c>
    </row>
    <row r="320" spans="1:24" ht="12">
      <c r="A320" s="2" t="s">
        <v>1093</v>
      </c>
      <c r="B320" s="196" t="s">
        <v>1476</v>
      </c>
      <c r="C320" s="2" t="s">
        <v>137</v>
      </c>
      <c r="D320" s="2" t="str">
        <f t="shared" si="39"/>
        <v>Cécile VANDER BORGHT </v>
      </c>
      <c r="E320" s="2" t="str">
        <f t="shared" si="40"/>
        <v>VANDER BORGHT  Cécile</v>
      </c>
      <c r="F320" s="9">
        <v>21.6</v>
      </c>
      <c r="G320" s="9" t="s">
        <v>84</v>
      </c>
      <c r="H320" s="214">
        <v>705689</v>
      </c>
      <c r="I320" s="4" t="s">
        <v>1067</v>
      </c>
      <c r="J320" s="217" t="s">
        <v>1540</v>
      </c>
      <c r="K320" s="21">
        <v>17437</v>
      </c>
      <c r="L320" s="23">
        <f t="shared" si="41"/>
        <v>69</v>
      </c>
      <c r="M320" s="23">
        <f t="shared" si="47"/>
        <v>90.6</v>
      </c>
      <c r="N320" s="8" t="str">
        <f ca="1" t="shared" si="42"/>
        <v> </v>
      </c>
      <c r="O320" s="8" t="str">
        <f t="shared" si="46"/>
        <v> </v>
      </c>
      <c r="P320" s="8" t="s">
        <v>1540</v>
      </c>
      <c r="Q320" s="2" t="s">
        <v>308</v>
      </c>
      <c r="R320" s="3">
        <v>1170</v>
      </c>
      <c r="S320" s="2" t="s">
        <v>546</v>
      </c>
      <c r="T320" s="2" t="s">
        <v>661</v>
      </c>
      <c r="U320" s="2" t="s">
        <v>518</v>
      </c>
      <c r="V320" s="9">
        <v>21.6</v>
      </c>
      <c r="W320" s="5">
        <f t="shared" si="43"/>
        <v>0</v>
      </c>
      <c r="X320" s="6">
        <f t="shared" si="44"/>
        <v>0</v>
      </c>
    </row>
    <row r="321" spans="1:24" ht="12">
      <c r="A321" s="2" t="s">
        <v>1092</v>
      </c>
      <c r="B321" s="196" t="s">
        <v>1371</v>
      </c>
      <c r="C321" s="2" t="s">
        <v>1769</v>
      </c>
      <c r="D321" s="2" t="str">
        <f t="shared" si="39"/>
        <v>Didier VANDER BRUGGHEN</v>
      </c>
      <c r="E321" s="2" t="str">
        <f t="shared" si="40"/>
        <v>VANDER BRUGGHEN Didier</v>
      </c>
      <c r="F321" s="9">
        <v>14.4</v>
      </c>
      <c r="G321" s="9" t="s">
        <v>84</v>
      </c>
      <c r="H321" s="214">
        <v>716728</v>
      </c>
      <c r="I321" s="4" t="s">
        <v>40</v>
      </c>
      <c r="J321" s="217"/>
      <c r="K321" s="21">
        <v>21931</v>
      </c>
      <c r="L321" s="23"/>
      <c r="M321" s="23"/>
      <c r="N321" s="8" t="str">
        <f ca="1" t="shared" si="42"/>
        <v> </v>
      </c>
      <c r="O321" s="8"/>
      <c r="P321" s="8"/>
      <c r="Q321" s="2" t="s">
        <v>1969</v>
      </c>
      <c r="R321" s="3">
        <v>1560</v>
      </c>
      <c r="S321" s="2" t="s">
        <v>1970</v>
      </c>
      <c r="T321" s="2"/>
      <c r="U321" s="2" t="s">
        <v>1770</v>
      </c>
      <c r="V321" s="9">
        <v>14.4</v>
      </c>
      <c r="W321" s="5">
        <f t="shared" si="43"/>
        <v>0</v>
      </c>
      <c r="X321" s="6">
        <f t="shared" si="44"/>
        <v>0</v>
      </c>
    </row>
    <row r="322" spans="1:24" ht="12">
      <c r="A322" s="2" t="s">
        <v>1092</v>
      </c>
      <c r="B322" s="196" t="s">
        <v>1170</v>
      </c>
      <c r="C322" s="2" t="s">
        <v>1488</v>
      </c>
      <c r="D322" s="2" t="str">
        <f aca="true" t="shared" si="48" ref="D322:D353">B322&amp;" "&amp;C322</f>
        <v>Alain VANDER ELST </v>
      </c>
      <c r="E322" s="2" t="str">
        <f aca="true" t="shared" si="49" ref="E322:E353">C322&amp;" "&amp;B322</f>
        <v>VANDER ELST  Alain</v>
      </c>
      <c r="F322" s="9">
        <v>21.1</v>
      </c>
      <c r="G322" s="9" t="s">
        <v>84</v>
      </c>
      <c r="H322" s="214">
        <v>227896</v>
      </c>
      <c r="I322" s="4" t="s">
        <v>1068</v>
      </c>
      <c r="J322" s="217"/>
      <c r="K322" s="21">
        <v>13812</v>
      </c>
      <c r="L322" s="23">
        <f aca="true" t="shared" si="50" ref="L322:L353">YEAR(jourdhui)-YEAR(K322)-IF(MONTH(K322)&gt;MONTH(jourdhui),1,0)-(IF(MONTH(K322)=MONTH(jourdhui),1,0)*IF(DAY(K322)&gt;DAY(jourdhui),1,0))</f>
        <v>79</v>
      </c>
      <c r="M322" s="23">
        <f aca="true" t="shared" si="51" ref="M322:M353">L322+F322</f>
        <v>100.1</v>
      </c>
      <c r="N322" s="8" t="str">
        <f aca="true" ca="1" t="shared" si="52" ref="N322:N353">IF((IF(DAY(K322)=DAY(TODAY()),1,0)+IF(MONTH(K322)=MONTH(TODAY()),1,0))=2,"y"," ")</f>
        <v> </v>
      </c>
      <c r="O322" s="8" t="str">
        <f aca="true" t="shared" si="53" ref="O322:O353">IF((IF(DAY(K322)=DAY(dc),1,0)+IF(MONTH(K322)=MONTH(dc),1,0))=2,"y"," ")</f>
        <v> </v>
      </c>
      <c r="P322" s="8"/>
      <c r="Q322" s="2" t="s">
        <v>281</v>
      </c>
      <c r="R322" s="3">
        <v>1410</v>
      </c>
      <c r="S322" s="2" t="s">
        <v>534</v>
      </c>
      <c r="T322" s="2" t="s">
        <v>584</v>
      </c>
      <c r="U322" s="2" t="s">
        <v>419</v>
      </c>
      <c r="V322" s="9">
        <v>21.1</v>
      </c>
      <c r="W322" s="5">
        <f aca="true" t="shared" si="54" ref="W322:W333">F322-V322</f>
        <v>0</v>
      </c>
      <c r="X322" s="6">
        <f aca="true" t="shared" si="55" ref="X322:X353">(V322-F322)/V322</f>
        <v>0</v>
      </c>
    </row>
    <row r="323" spans="1:24" ht="12">
      <c r="A323" s="2" t="s">
        <v>1093</v>
      </c>
      <c r="B323" s="196" t="s">
        <v>1169</v>
      </c>
      <c r="C323" s="2" t="s">
        <v>1826</v>
      </c>
      <c r="D323" s="2" t="str">
        <f t="shared" si="48"/>
        <v>Martine VANDERHAEGEN</v>
      </c>
      <c r="E323" s="2" t="str">
        <f t="shared" si="49"/>
        <v>VANDERHAEGEN Martine</v>
      </c>
      <c r="F323" s="9">
        <v>24</v>
      </c>
      <c r="G323" s="9" t="s">
        <v>84</v>
      </c>
      <c r="H323" s="214">
        <v>227234</v>
      </c>
      <c r="I323" s="4" t="s">
        <v>1913</v>
      </c>
      <c r="J323" s="217" t="s">
        <v>1540</v>
      </c>
      <c r="K323" s="21">
        <v>20213</v>
      </c>
      <c r="L323" s="23">
        <f t="shared" si="50"/>
        <v>62</v>
      </c>
      <c r="M323" s="23">
        <f t="shared" si="51"/>
        <v>86</v>
      </c>
      <c r="N323" s="8" t="str">
        <f ca="1" t="shared" si="52"/>
        <v> </v>
      </c>
      <c r="O323" s="8" t="str">
        <f t="shared" si="53"/>
        <v> </v>
      </c>
      <c r="P323" s="8" t="s">
        <v>1540</v>
      </c>
      <c r="Q323" s="2" t="s">
        <v>1827</v>
      </c>
      <c r="R323" s="3">
        <v>1180</v>
      </c>
      <c r="S323" s="2" t="s">
        <v>546</v>
      </c>
      <c r="T323" s="2" t="s">
        <v>1829</v>
      </c>
      <c r="U323" s="2" t="s">
        <v>1828</v>
      </c>
      <c r="V323" s="9">
        <v>24</v>
      </c>
      <c r="W323" s="5">
        <f t="shared" si="54"/>
        <v>0</v>
      </c>
      <c r="X323" s="6">
        <f t="shared" si="55"/>
        <v>0</v>
      </c>
    </row>
    <row r="324" spans="1:24" ht="12">
      <c r="A324" s="2" t="s">
        <v>1092</v>
      </c>
      <c r="B324" s="196" t="s">
        <v>1189</v>
      </c>
      <c r="C324" s="2" t="s">
        <v>1489</v>
      </c>
      <c r="D324" s="2" t="str">
        <f t="shared" si="48"/>
        <v>Paul VANDERKELEN</v>
      </c>
      <c r="E324" s="2" t="str">
        <f t="shared" si="49"/>
        <v>VANDERKELEN Paul</v>
      </c>
      <c r="F324" s="9">
        <v>36</v>
      </c>
      <c r="G324" s="9" t="s">
        <v>84</v>
      </c>
      <c r="H324" s="214">
        <v>155043</v>
      </c>
      <c r="I324" s="4" t="s">
        <v>1069</v>
      </c>
      <c r="J324" s="217" t="s">
        <v>1540</v>
      </c>
      <c r="K324" s="21">
        <v>15361</v>
      </c>
      <c r="L324" s="23">
        <f t="shared" si="50"/>
        <v>75</v>
      </c>
      <c r="M324" s="23">
        <f t="shared" si="51"/>
        <v>111</v>
      </c>
      <c r="N324" s="8" t="str">
        <f ca="1" t="shared" si="52"/>
        <v> </v>
      </c>
      <c r="O324" s="8" t="str">
        <f t="shared" si="53"/>
        <v> </v>
      </c>
      <c r="P324" s="8" t="s">
        <v>1540</v>
      </c>
      <c r="Q324" s="2" t="s">
        <v>284</v>
      </c>
      <c r="R324" s="3">
        <v>1640</v>
      </c>
      <c r="S324" s="2" t="s">
        <v>345</v>
      </c>
      <c r="T324" s="2" t="s">
        <v>680</v>
      </c>
      <c r="U324" s="2" t="s">
        <v>695</v>
      </c>
      <c r="V324" s="9">
        <v>36</v>
      </c>
      <c r="W324" s="5">
        <f t="shared" si="54"/>
        <v>0</v>
      </c>
      <c r="X324" s="6">
        <f t="shared" si="55"/>
        <v>0</v>
      </c>
    </row>
    <row r="325" spans="1:24" ht="12">
      <c r="A325" s="2" t="s">
        <v>1092</v>
      </c>
      <c r="B325" s="196" t="s">
        <v>1373</v>
      </c>
      <c r="C325" s="2" t="s">
        <v>1490</v>
      </c>
      <c r="D325" s="2" t="str">
        <f t="shared" si="48"/>
        <v>Georges VAXELAIRE</v>
      </c>
      <c r="E325" s="2" t="str">
        <f t="shared" si="49"/>
        <v>VAXELAIRE Georges</v>
      </c>
      <c r="F325" s="9">
        <v>30.1</v>
      </c>
      <c r="G325" s="9" t="s">
        <v>84</v>
      </c>
      <c r="H325" s="214">
        <v>374295</v>
      </c>
      <c r="I325" s="4" t="s">
        <v>1070</v>
      </c>
      <c r="J325" s="217"/>
      <c r="K325" s="21">
        <v>17802</v>
      </c>
      <c r="L325" s="23">
        <f t="shared" si="50"/>
        <v>68</v>
      </c>
      <c r="M325" s="23">
        <f t="shared" si="51"/>
        <v>98.1</v>
      </c>
      <c r="N325" s="8" t="str">
        <f ca="1" t="shared" si="52"/>
        <v> </v>
      </c>
      <c r="O325" s="8" t="str">
        <f t="shared" si="53"/>
        <v> </v>
      </c>
      <c r="P325" s="8" t="s">
        <v>1540</v>
      </c>
      <c r="Q325" s="2" t="s">
        <v>665</v>
      </c>
      <c r="R325" s="3">
        <v>1640</v>
      </c>
      <c r="S325" s="2" t="s">
        <v>345</v>
      </c>
      <c r="T325" s="2" t="s">
        <v>727</v>
      </c>
      <c r="U325" s="2" t="s">
        <v>726</v>
      </c>
      <c r="V325" s="9">
        <v>30.1</v>
      </c>
      <c r="W325" s="5">
        <f t="shared" si="54"/>
        <v>0</v>
      </c>
      <c r="X325" s="6">
        <f t="shared" si="55"/>
        <v>0</v>
      </c>
    </row>
    <row r="326" spans="1:24" ht="12">
      <c r="A326" s="2" t="s">
        <v>1092</v>
      </c>
      <c r="B326" s="196" t="s">
        <v>1196</v>
      </c>
      <c r="C326" s="2" t="s">
        <v>1491</v>
      </c>
      <c r="D326" s="2" t="str">
        <f t="shared" si="48"/>
        <v>Guy VERHAEGHE </v>
      </c>
      <c r="E326" s="2" t="str">
        <f t="shared" si="49"/>
        <v>VERHAEGHE  Guy</v>
      </c>
      <c r="F326" s="9">
        <v>25.2</v>
      </c>
      <c r="G326" s="9" t="s">
        <v>84</v>
      </c>
      <c r="H326" s="214">
        <v>227919</v>
      </c>
      <c r="I326" s="4" t="s">
        <v>1752</v>
      </c>
      <c r="J326" s="217"/>
      <c r="K326" s="21">
        <v>15070</v>
      </c>
      <c r="L326" s="23">
        <f t="shared" si="50"/>
        <v>76</v>
      </c>
      <c r="M326" s="23">
        <f t="shared" si="51"/>
        <v>101.2</v>
      </c>
      <c r="N326" s="8" t="str">
        <f ca="1" t="shared" si="52"/>
        <v> </v>
      </c>
      <c r="O326" s="8" t="str">
        <f t="shared" si="53"/>
        <v> </v>
      </c>
      <c r="P326" s="8" t="s">
        <v>1540</v>
      </c>
      <c r="Q326" s="2" t="s">
        <v>290</v>
      </c>
      <c r="R326" s="3">
        <v>1950</v>
      </c>
      <c r="S326" s="2" t="s">
        <v>533</v>
      </c>
      <c r="T326" s="2" t="s">
        <v>361</v>
      </c>
      <c r="U326" s="2"/>
      <c r="V326" s="9">
        <v>25.2</v>
      </c>
      <c r="W326" s="5">
        <f t="shared" si="54"/>
        <v>0</v>
      </c>
      <c r="X326" s="6">
        <f t="shared" si="55"/>
        <v>0</v>
      </c>
    </row>
    <row r="327" spans="1:24" ht="12">
      <c r="A327" s="2" t="s">
        <v>1093</v>
      </c>
      <c r="B327" s="196" t="s">
        <v>1303</v>
      </c>
      <c r="C327" s="2" t="s">
        <v>1491</v>
      </c>
      <c r="D327" s="2" t="str">
        <f t="shared" si="48"/>
        <v>Nicole VERHAEGHE </v>
      </c>
      <c r="E327" s="2" t="str">
        <f t="shared" si="49"/>
        <v>VERHAEGHE  Nicole</v>
      </c>
      <c r="F327" s="9">
        <v>19.5</v>
      </c>
      <c r="G327" s="9" t="s">
        <v>84</v>
      </c>
      <c r="H327" s="214">
        <v>227918</v>
      </c>
      <c r="I327" s="4" t="s">
        <v>1071</v>
      </c>
      <c r="J327" s="217" t="s">
        <v>1540</v>
      </c>
      <c r="K327" s="21">
        <v>16034</v>
      </c>
      <c r="L327" s="23">
        <f t="shared" si="50"/>
        <v>73</v>
      </c>
      <c r="M327" s="23">
        <f t="shared" si="51"/>
        <v>92.5</v>
      </c>
      <c r="N327" s="8" t="str">
        <f ca="1" t="shared" si="52"/>
        <v> </v>
      </c>
      <c r="O327" s="8" t="str">
        <f t="shared" si="53"/>
        <v> </v>
      </c>
      <c r="P327" s="8" t="s">
        <v>1540</v>
      </c>
      <c r="Q327" s="2" t="s">
        <v>290</v>
      </c>
      <c r="R327" s="3">
        <v>1950</v>
      </c>
      <c r="S327" s="2" t="s">
        <v>533</v>
      </c>
      <c r="T327" s="2" t="s">
        <v>361</v>
      </c>
      <c r="U327" s="2" t="s">
        <v>362</v>
      </c>
      <c r="V327" s="9">
        <v>19.5</v>
      </c>
      <c r="W327" s="5">
        <f t="shared" si="54"/>
        <v>0</v>
      </c>
      <c r="X327" s="6">
        <f t="shared" si="55"/>
        <v>0</v>
      </c>
    </row>
    <row r="328" spans="1:24" ht="12">
      <c r="A328" s="2" t="s">
        <v>1092</v>
      </c>
      <c r="B328" s="196" t="s">
        <v>1170</v>
      </c>
      <c r="C328" s="2" t="s">
        <v>1492</v>
      </c>
      <c r="D328" s="2" t="str">
        <f t="shared" si="48"/>
        <v>Alain VERHEST </v>
      </c>
      <c r="E328" s="2" t="str">
        <f t="shared" si="49"/>
        <v>VERHEST  Alain</v>
      </c>
      <c r="F328" s="9">
        <v>31.1</v>
      </c>
      <c r="G328" s="9" t="s">
        <v>84</v>
      </c>
      <c r="H328" s="214">
        <v>227920</v>
      </c>
      <c r="I328" s="4" t="s">
        <v>1072</v>
      </c>
      <c r="J328" s="217" t="s">
        <v>1540</v>
      </c>
      <c r="K328" s="21">
        <v>15449</v>
      </c>
      <c r="L328" s="23">
        <f t="shared" si="50"/>
        <v>75</v>
      </c>
      <c r="M328" s="23">
        <f t="shared" si="51"/>
        <v>106.1</v>
      </c>
      <c r="N328" s="8" t="str">
        <f ca="1" t="shared" si="52"/>
        <v> </v>
      </c>
      <c r="O328" s="8" t="str">
        <f t="shared" si="53"/>
        <v> </v>
      </c>
      <c r="P328" s="8" t="s">
        <v>1540</v>
      </c>
      <c r="Q328" s="2" t="s">
        <v>291</v>
      </c>
      <c r="R328" s="3">
        <v>1180</v>
      </c>
      <c r="S328" s="2" t="s">
        <v>546</v>
      </c>
      <c r="T328" s="2"/>
      <c r="U328" s="2" t="s">
        <v>759</v>
      </c>
      <c r="V328" s="9">
        <v>31.1</v>
      </c>
      <c r="W328" s="5">
        <f t="shared" si="54"/>
        <v>0</v>
      </c>
      <c r="X328" s="6">
        <f t="shared" si="55"/>
        <v>0</v>
      </c>
    </row>
    <row r="329" spans="1:24" ht="12">
      <c r="A329" s="2" t="s">
        <v>1092</v>
      </c>
      <c r="B329" s="196" t="s">
        <v>1477</v>
      </c>
      <c r="C329" s="2" t="s">
        <v>1493</v>
      </c>
      <c r="D329" s="2" t="str">
        <f t="shared" si="48"/>
        <v>Chris VERHOEVEN </v>
      </c>
      <c r="E329" s="2" t="str">
        <f t="shared" si="49"/>
        <v>VERHOEVEN  Chris</v>
      </c>
      <c r="F329" s="9">
        <v>16.9</v>
      </c>
      <c r="G329" s="9" t="s">
        <v>84</v>
      </c>
      <c r="H329" s="214">
        <v>254673</v>
      </c>
      <c r="I329" s="4" t="s">
        <v>945</v>
      </c>
      <c r="J329" s="217" t="s">
        <v>1540</v>
      </c>
      <c r="K329" s="21">
        <v>19484</v>
      </c>
      <c r="L329" s="23">
        <f t="shared" si="50"/>
        <v>64</v>
      </c>
      <c r="M329" s="23">
        <f t="shared" si="51"/>
        <v>80.9</v>
      </c>
      <c r="N329" s="8" t="str">
        <f ca="1" t="shared" si="52"/>
        <v> </v>
      </c>
      <c r="O329" s="8" t="str">
        <f t="shared" si="53"/>
        <v> </v>
      </c>
      <c r="P329" s="8" t="s">
        <v>1540</v>
      </c>
      <c r="Q329" s="2" t="s">
        <v>798</v>
      </c>
      <c r="R329" s="3">
        <v>1650</v>
      </c>
      <c r="S329" s="2" t="s">
        <v>347</v>
      </c>
      <c r="T329" s="2" t="s">
        <v>642</v>
      </c>
      <c r="U329" s="2" t="s">
        <v>539</v>
      </c>
      <c r="V329" s="9">
        <v>16.9</v>
      </c>
      <c r="W329" s="5">
        <f t="shared" si="54"/>
        <v>0</v>
      </c>
      <c r="X329" s="6">
        <f t="shared" si="55"/>
        <v>0</v>
      </c>
    </row>
    <row r="330" spans="1:24" ht="12">
      <c r="A330" s="2" t="s">
        <v>1092</v>
      </c>
      <c r="B330" s="196" t="s">
        <v>1228</v>
      </c>
      <c r="C330" s="2" t="s">
        <v>1494</v>
      </c>
      <c r="D330" s="2" t="str">
        <f t="shared" si="48"/>
        <v>François VERMER</v>
      </c>
      <c r="E330" s="2" t="str">
        <f t="shared" si="49"/>
        <v>VERMER François</v>
      </c>
      <c r="F330" s="9">
        <v>26.2</v>
      </c>
      <c r="G330" s="9" t="s">
        <v>84</v>
      </c>
      <c r="H330" s="214">
        <v>258772</v>
      </c>
      <c r="I330" s="4" t="s">
        <v>1073</v>
      </c>
      <c r="J330" s="217"/>
      <c r="K330" s="21">
        <v>16983</v>
      </c>
      <c r="L330" s="23">
        <f t="shared" si="50"/>
        <v>70</v>
      </c>
      <c r="M330" s="23">
        <f t="shared" si="51"/>
        <v>96.2</v>
      </c>
      <c r="N330" s="8" t="str">
        <f ca="1" t="shared" si="52"/>
        <v> </v>
      </c>
      <c r="O330" s="8" t="str">
        <f t="shared" si="53"/>
        <v> </v>
      </c>
      <c r="P330" s="8"/>
      <c r="Q330" s="2" t="s">
        <v>292</v>
      </c>
      <c r="R330" s="3">
        <v>1180</v>
      </c>
      <c r="S330" s="2" t="s">
        <v>546</v>
      </c>
      <c r="T330" s="2"/>
      <c r="U330" s="2" t="s">
        <v>422</v>
      </c>
      <c r="V330" s="9">
        <v>26.2</v>
      </c>
      <c r="W330" s="5">
        <f t="shared" si="54"/>
        <v>0</v>
      </c>
      <c r="X330" s="6">
        <f t="shared" si="55"/>
        <v>0</v>
      </c>
    </row>
    <row r="331" spans="1:24" ht="12">
      <c r="A331" s="2" t="s">
        <v>1092</v>
      </c>
      <c r="B331" s="196" t="s">
        <v>1478</v>
      </c>
      <c r="C331" s="2" t="s">
        <v>1495</v>
      </c>
      <c r="D331" s="2" t="str">
        <f t="shared" si="48"/>
        <v>Olivier VEROLA </v>
      </c>
      <c r="E331" s="2" t="str">
        <f t="shared" si="49"/>
        <v>VEROLA  Olivier</v>
      </c>
      <c r="F331" s="9">
        <v>6.2</v>
      </c>
      <c r="G331" s="9" t="s">
        <v>84</v>
      </c>
      <c r="H331" s="214">
        <v>712858</v>
      </c>
      <c r="I331" s="4" t="s">
        <v>1074</v>
      </c>
      <c r="J331" s="217" t="s">
        <v>1540</v>
      </c>
      <c r="K331" s="21">
        <v>21630</v>
      </c>
      <c r="L331" s="23">
        <f t="shared" si="50"/>
        <v>58</v>
      </c>
      <c r="M331" s="23">
        <f t="shared" si="51"/>
        <v>64.2</v>
      </c>
      <c r="N331" s="8" t="str">
        <f ca="1" t="shared" si="52"/>
        <v> </v>
      </c>
      <c r="O331" s="8" t="str">
        <f t="shared" si="53"/>
        <v> </v>
      </c>
      <c r="P331" s="8" t="s">
        <v>1540</v>
      </c>
      <c r="Q331" s="2" t="s">
        <v>1917</v>
      </c>
      <c r="R331" s="3">
        <v>1000</v>
      </c>
      <c r="S331" s="2" t="s">
        <v>546</v>
      </c>
      <c r="T331" s="2" t="s">
        <v>1918</v>
      </c>
      <c r="U331" s="2" t="s">
        <v>771</v>
      </c>
      <c r="V331" s="9">
        <v>6.2</v>
      </c>
      <c r="W331" s="5">
        <f t="shared" si="54"/>
        <v>0</v>
      </c>
      <c r="X331" s="6">
        <f t="shared" si="55"/>
        <v>0</v>
      </c>
    </row>
    <row r="332" spans="1:24" ht="12">
      <c r="A332" s="2" t="s">
        <v>1092</v>
      </c>
      <c r="B332" s="196" t="s">
        <v>1479</v>
      </c>
      <c r="C332" s="2" t="s">
        <v>1496</v>
      </c>
      <c r="D332" s="2" t="str">
        <f t="shared" si="48"/>
        <v>Alexis VEROUGSTRAETE</v>
      </c>
      <c r="E332" s="2" t="str">
        <f t="shared" si="49"/>
        <v>VEROUGSTRAETE Alexis</v>
      </c>
      <c r="F332" s="9">
        <v>32.599998474121094</v>
      </c>
      <c r="G332" s="9" t="s">
        <v>83</v>
      </c>
      <c r="H332" s="214">
        <v>703068</v>
      </c>
      <c r="I332" s="4" t="s">
        <v>1075</v>
      </c>
      <c r="J332" s="217"/>
      <c r="K332" s="21">
        <v>14776</v>
      </c>
      <c r="L332" s="23">
        <f t="shared" si="50"/>
        <v>77</v>
      </c>
      <c r="M332" s="23">
        <f t="shared" si="51"/>
        <v>109.5999984741211</v>
      </c>
      <c r="N332" s="8" t="str">
        <f ca="1" t="shared" si="52"/>
        <v> </v>
      </c>
      <c r="O332" s="8" t="str">
        <f t="shared" si="53"/>
        <v> </v>
      </c>
      <c r="P332" s="8" t="s">
        <v>1540</v>
      </c>
      <c r="Q332" s="2" t="s">
        <v>293</v>
      </c>
      <c r="R332" s="3">
        <v>1950</v>
      </c>
      <c r="S332" s="2" t="s">
        <v>533</v>
      </c>
      <c r="T332" s="2"/>
      <c r="U332" s="2" t="s">
        <v>365</v>
      </c>
      <c r="V332" s="9">
        <v>32.599998474121094</v>
      </c>
      <c r="W332" s="5">
        <f t="shared" si="54"/>
        <v>0</v>
      </c>
      <c r="X332" s="6">
        <f t="shared" si="55"/>
        <v>0</v>
      </c>
    </row>
    <row r="333" spans="1:24" ht="12">
      <c r="A333" s="2" t="s">
        <v>1093</v>
      </c>
      <c r="B333" s="196" t="s">
        <v>1476</v>
      </c>
      <c r="C333" s="2" t="s">
        <v>1496</v>
      </c>
      <c r="D333" s="2" t="str">
        <f t="shared" si="48"/>
        <v>Cécile VEROUGSTRAETE</v>
      </c>
      <c r="E333" s="2" t="str">
        <f t="shared" si="49"/>
        <v>VEROUGSTRAETE Cécile</v>
      </c>
      <c r="F333" s="9">
        <v>27.2</v>
      </c>
      <c r="G333" s="9" t="s">
        <v>84</v>
      </c>
      <c r="H333" s="214">
        <v>227925</v>
      </c>
      <c r="I333" s="4" t="s">
        <v>1076</v>
      </c>
      <c r="J333" s="217" t="s">
        <v>1540</v>
      </c>
      <c r="K333" s="21">
        <v>15466</v>
      </c>
      <c r="L333" s="23">
        <f t="shared" si="50"/>
        <v>75</v>
      </c>
      <c r="M333" s="23">
        <f t="shared" si="51"/>
        <v>102.2</v>
      </c>
      <c r="N333" s="8" t="str">
        <f ca="1" t="shared" si="52"/>
        <v> </v>
      </c>
      <c r="O333" s="8" t="str">
        <f t="shared" si="53"/>
        <v> </v>
      </c>
      <c r="P333" s="8" t="s">
        <v>1540</v>
      </c>
      <c r="Q333" s="2" t="s">
        <v>294</v>
      </c>
      <c r="R333" s="3">
        <v>1460</v>
      </c>
      <c r="S333" s="2" t="s">
        <v>548</v>
      </c>
      <c r="T333" s="2" t="s">
        <v>363</v>
      </c>
      <c r="U333" s="2" t="s">
        <v>364</v>
      </c>
      <c r="V333" s="9">
        <v>27.2</v>
      </c>
      <c r="W333" s="5">
        <f t="shared" si="54"/>
        <v>0</v>
      </c>
      <c r="X333" s="6">
        <f t="shared" si="55"/>
        <v>0</v>
      </c>
    </row>
    <row r="334" spans="1:24" ht="12">
      <c r="A334" s="2" t="s">
        <v>1092</v>
      </c>
      <c r="B334" s="196" t="s">
        <v>1160</v>
      </c>
      <c r="C334" s="2" t="s">
        <v>107</v>
      </c>
      <c r="D334" s="2" t="str">
        <f t="shared" si="48"/>
        <v>Jacques VERVA</v>
      </c>
      <c r="E334" s="2" t="str">
        <f t="shared" si="49"/>
        <v>VERVA Jacques</v>
      </c>
      <c r="F334" s="9">
        <v>27.7</v>
      </c>
      <c r="G334" s="9" t="s">
        <v>84</v>
      </c>
      <c r="H334" s="214">
        <v>252870</v>
      </c>
      <c r="I334" s="4" t="s">
        <v>145</v>
      </c>
      <c r="J334" s="217" t="s">
        <v>1540</v>
      </c>
      <c r="K334" s="21">
        <v>16227</v>
      </c>
      <c r="L334" s="23">
        <f t="shared" si="50"/>
        <v>73</v>
      </c>
      <c r="M334" s="23">
        <f t="shared" si="51"/>
        <v>100.7</v>
      </c>
      <c r="N334" s="8" t="str">
        <f ca="1" t="shared" si="52"/>
        <v> </v>
      </c>
      <c r="O334" s="8" t="str">
        <f t="shared" si="53"/>
        <v> </v>
      </c>
      <c r="P334" s="8"/>
      <c r="Q334" s="2" t="s">
        <v>108</v>
      </c>
      <c r="R334" s="3">
        <v>1180</v>
      </c>
      <c r="S334" s="2" t="s">
        <v>1953</v>
      </c>
      <c r="T334" s="2"/>
      <c r="U334" s="2" t="s">
        <v>109</v>
      </c>
      <c r="V334" s="9">
        <v>27.7</v>
      </c>
      <c r="W334" s="5"/>
      <c r="X334" s="6">
        <f t="shared" si="55"/>
        <v>0</v>
      </c>
    </row>
    <row r="335" spans="1:24" ht="12">
      <c r="A335" s="2" t="s">
        <v>1093</v>
      </c>
      <c r="B335" s="196" t="s">
        <v>1348</v>
      </c>
      <c r="C335" s="2" t="s">
        <v>1497</v>
      </c>
      <c r="D335" s="2" t="str">
        <f t="shared" si="48"/>
        <v>Inge VIERSTRAETE </v>
      </c>
      <c r="E335" s="2" t="str">
        <f t="shared" si="49"/>
        <v>VIERSTRAETE  Inge</v>
      </c>
      <c r="F335" s="9">
        <v>19</v>
      </c>
      <c r="G335" s="9" t="s">
        <v>83</v>
      </c>
      <c r="H335" s="214">
        <v>703066</v>
      </c>
      <c r="I335" s="4" t="s">
        <v>1077</v>
      </c>
      <c r="J335" s="217" t="s">
        <v>1540</v>
      </c>
      <c r="K335" s="21">
        <v>21592</v>
      </c>
      <c r="L335" s="23">
        <f t="shared" si="50"/>
        <v>58</v>
      </c>
      <c r="M335" s="23">
        <f t="shared" si="51"/>
        <v>77</v>
      </c>
      <c r="N335" s="8" t="str">
        <f ca="1" t="shared" si="52"/>
        <v> </v>
      </c>
      <c r="O335" s="8" t="str">
        <f t="shared" si="53"/>
        <v> </v>
      </c>
      <c r="P335" s="8" t="s">
        <v>1540</v>
      </c>
      <c r="Q335" s="2" t="s">
        <v>295</v>
      </c>
      <c r="R335" s="3">
        <v>1410</v>
      </c>
      <c r="S335" s="2" t="s">
        <v>534</v>
      </c>
      <c r="T335" s="2" t="s">
        <v>491</v>
      </c>
      <c r="U335" s="2" t="s">
        <v>492</v>
      </c>
      <c r="V335" s="9">
        <v>19</v>
      </c>
      <c r="W335" s="5">
        <f aca="true" t="shared" si="56" ref="W335:W353">F335-V335</f>
        <v>0</v>
      </c>
      <c r="X335" s="6">
        <f t="shared" si="55"/>
        <v>0</v>
      </c>
    </row>
    <row r="336" spans="1:24" ht="12">
      <c r="A336" s="2" t="s">
        <v>1092</v>
      </c>
      <c r="B336" s="196" t="s">
        <v>198</v>
      </c>
      <c r="C336" s="2" t="s">
        <v>1497</v>
      </c>
      <c r="D336" s="2" t="str">
        <f t="shared" si="48"/>
        <v>Luc VIERSTRAETE </v>
      </c>
      <c r="E336" s="2" t="str">
        <f t="shared" si="49"/>
        <v>VIERSTRAETE  Luc</v>
      </c>
      <c r="F336" s="9">
        <v>17.1</v>
      </c>
      <c r="G336" s="9" t="s">
        <v>83</v>
      </c>
      <c r="H336" s="214">
        <v>703065</v>
      </c>
      <c r="I336" s="4" t="s">
        <v>1077</v>
      </c>
      <c r="J336" s="217" t="s">
        <v>1540</v>
      </c>
      <c r="K336" s="21">
        <v>22900</v>
      </c>
      <c r="L336" s="23">
        <f t="shared" si="50"/>
        <v>54</v>
      </c>
      <c r="M336" s="23">
        <f t="shared" si="51"/>
        <v>71.1</v>
      </c>
      <c r="N336" s="8" t="str">
        <f ca="1" t="shared" si="52"/>
        <v> </v>
      </c>
      <c r="O336" s="8" t="str">
        <f t="shared" si="53"/>
        <v> </v>
      </c>
      <c r="P336" s="8" t="s">
        <v>1540</v>
      </c>
      <c r="Q336" s="2" t="s">
        <v>295</v>
      </c>
      <c r="R336" s="3">
        <v>1410</v>
      </c>
      <c r="S336" s="2" t="s">
        <v>534</v>
      </c>
      <c r="T336" s="2" t="s">
        <v>199</v>
      </c>
      <c r="U336" s="2" t="s">
        <v>200</v>
      </c>
      <c r="V336" s="9">
        <v>17.1</v>
      </c>
      <c r="W336" s="5">
        <f t="shared" si="56"/>
        <v>0</v>
      </c>
      <c r="X336" s="6">
        <f t="shared" si="55"/>
        <v>0</v>
      </c>
    </row>
    <row r="337" spans="1:24" ht="12">
      <c r="A337" s="2" t="s">
        <v>1092</v>
      </c>
      <c r="B337" s="196" t="s">
        <v>1481</v>
      </c>
      <c r="C337" s="2" t="s">
        <v>1498</v>
      </c>
      <c r="D337" s="2" t="str">
        <f t="shared" si="48"/>
        <v>Romain VOLDERS</v>
      </c>
      <c r="E337" s="2" t="str">
        <f t="shared" si="49"/>
        <v>VOLDERS Romain</v>
      </c>
      <c r="F337" s="9">
        <v>26.299999237060547</v>
      </c>
      <c r="G337" s="9" t="s">
        <v>83</v>
      </c>
      <c r="H337" s="214">
        <v>227940</v>
      </c>
      <c r="I337" s="4" t="s">
        <v>1078</v>
      </c>
      <c r="J337" s="217"/>
      <c r="K337" s="21">
        <v>12187</v>
      </c>
      <c r="L337" s="23">
        <f t="shared" si="50"/>
        <v>84</v>
      </c>
      <c r="M337" s="23">
        <f t="shared" si="51"/>
        <v>110.29999923706055</v>
      </c>
      <c r="N337" s="8" t="str">
        <f ca="1" t="shared" si="52"/>
        <v> </v>
      </c>
      <c r="O337" s="8" t="str">
        <f t="shared" si="53"/>
        <v> </v>
      </c>
      <c r="P337" s="8" t="s">
        <v>1540</v>
      </c>
      <c r="Q337" s="2" t="s">
        <v>296</v>
      </c>
      <c r="R337" s="3">
        <v>1640</v>
      </c>
      <c r="S337" s="2" t="s">
        <v>345</v>
      </c>
      <c r="T337" s="2" t="s">
        <v>366</v>
      </c>
      <c r="U337" s="2"/>
      <c r="V337" s="9">
        <v>26.299999237060547</v>
      </c>
      <c r="W337" s="5">
        <f t="shared" si="56"/>
        <v>0</v>
      </c>
      <c r="X337" s="6">
        <f t="shared" si="55"/>
        <v>0</v>
      </c>
    </row>
    <row r="338" spans="1:24" ht="12">
      <c r="A338" s="2" t="s">
        <v>1092</v>
      </c>
      <c r="B338" s="196" t="s">
        <v>1342</v>
      </c>
      <c r="C338" s="2" t="s">
        <v>1499</v>
      </c>
      <c r="D338" s="2" t="str">
        <f t="shared" si="48"/>
        <v>Philippe VOORTMAN</v>
      </c>
      <c r="E338" s="2" t="str">
        <f t="shared" si="49"/>
        <v>VOORTMAN Philippe</v>
      </c>
      <c r="F338" s="9">
        <v>30.1</v>
      </c>
      <c r="G338" s="9" t="s">
        <v>84</v>
      </c>
      <c r="H338" s="214">
        <v>1009537</v>
      </c>
      <c r="I338" s="4" t="s">
        <v>1079</v>
      </c>
      <c r="J338" s="217"/>
      <c r="K338" s="21">
        <v>18945</v>
      </c>
      <c r="L338" s="23">
        <f t="shared" si="50"/>
        <v>65</v>
      </c>
      <c r="M338" s="23">
        <f t="shared" si="51"/>
        <v>95.1</v>
      </c>
      <c r="N338" s="8" t="str">
        <f ca="1" t="shared" si="52"/>
        <v> </v>
      </c>
      <c r="O338" s="8" t="str">
        <f t="shared" si="53"/>
        <v> </v>
      </c>
      <c r="P338" s="8"/>
      <c r="Q338" s="2" t="s">
        <v>297</v>
      </c>
      <c r="R338" s="3">
        <v>1128</v>
      </c>
      <c r="S338" s="2" t="s">
        <v>793</v>
      </c>
      <c r="T338" s="2" t="s">
        <v>487</v>
      </c>
      <c r="U338" s="2" t="s">
        <v>794</v>
      </c>
      <c r="V338" s="9">
        <v>30.1</v>
      </c>
      <c r="W338" s="5">
        <f t="shared" si="56"/>
        <v>0</v>
      </c>
      <c r="X338" s="6">
        <f t="shared" si="55"/>
        <v>0</v>
      </c>
    </row>
    <row r="339" spans="1:24" ht="12">
      <c r="A339" s="2" t="s">
        <v>1093</v>
      </c>
      <c r="B339" s="196" t="s">
        <v>1482</v>
      </c>
      <c r="C339" s="2" t="s">
        <v>1500</v>
      </c>
      <c r="D339" s="2" t="str">
        <f t="shared" si="48"/>
        <v>Irène VOûTE</v>
      </c>
      <c r="E339" s="2" t="str">
        <f t="shared" si="49"/>
        <v>VOûTE Irène</v>
      </c>
      <c r="F339" s="9">
        <v>20.1</v>
      </c>
      <c r="G339" s="9" t="s">
        <v>84</v>
      </c>
      <c r="H339" s="214">
        <v>227944</v>
      </c>
      <c r="I339" s="4" t="s">
        <v>1080</v>
      </c>
      <c r="J339" s="217" t="s">
        <v>1540</v>
      </c>
      <c r="K339" s="21">
        <v>16561</v>
      </c>
      <c r="L339" s="23">
        <f t="shared" si="50"/>
        <v>72</v>
      </c>
      <c r="M339" s="23">
        <f t="shared" si="51"/>
        <v>92.1</v>
      </c>
      <c r="N339" s="8" t="str">
        <f ca="1" t="shared" si="52"/>
        <v> </v>
      </c>
      <c r="O339" s="8" t="str">
        <f t="shared" si="53"/>
        <v> </v>
      </c>
      <c r="P339" s="8" t="s">
        <v>1540</v>
      </c>
      <c r="Q339" s="2" t="s">
        <v>298</v>
      </c>
      <c r="R339" s="3">
        <v>1200</v>
      </c>
      <c r="S339" s="2" t="s">
        <v>546</v>
      </c>
      <c r="T339" s="2" t="s">
        <v>505</v>
      </c>
      <c r="U339" s="2" t="s">
        <v>506</v>
      </c>
      <c r="V339" s="9">
        <v>20.1</v>
      </c>
      <c r="W339" s="5">
        <f t="shared" si="56"/>
        <v>0</v>
      </c>
      <c r="X339" s="6">
        <f t="shared" si="55"/>
        <v>0</v>
      </c>
    </row>
    <row r="340" spans="1:24" ht="12">
      <c r="A340" s="2" t="s">
        <v>1092</v>
      </c>
      <c r="B340" s="196" t="s">
        <v>1189</v>
      </c>
      <c r="C340" s="2" t="s">
        <v>1500</v>
      </c>
      <c r="D340" s="2" t="str">
        <f t="shared" si="48"/>
        <v>Paul VOûTE</v>
      </c>
      <c r="E340" s="2" t="str">
        <f t="shared" si="49"/>
        <v>VOûTE Paul</v>
      </c>
      <c r="F340" s="9">
        <v>19.3</v>
      </c>
      <c r="G340" s="9" t="s">
        <v>84</v>
      </c>
      <c r="H340" s="214">
        <v>227943</v>
      </c>
      <c r="I340" s="4" t="s">
        <v>33</v>
      </c>
      <c r="J340" s="217" t="s">
        <v>1540</v>
      </c>
      <c r="K340" s="21">
        <v>17264</v>
      </c>
      <c r="L340" s="23">
        <f t="shared" si="50"/>
        <v>70</v>
      </c>
      <c r="M340" s="23">
        <f t="shared" si="51"/>
        <v>89.3</v>
      </c>
      <c r="N340" s="8" t="str">
        <f ca="1" t="shared" si="52"/>
        <v> </v>
      </c>
      <c r="O340" s="8" t="str">
        <f t="shared" si="53"/>
        <v> </v>
      </c>
      <c r="P340" s="8" t="s">
        <v>1540</v>
      </c>
      <c r="Q340" s="2" t="s">
        <v>298</v>
      </c>
      <c r="R340" s="3">
        <v>1200</v>
      </c>
      <c r="S340" s="2" t="s">
        <v>546</v>
      </c>
      <c r="T340" s="2" t="s">
        <v>505</v>
      </c>
      <c r="U340" s="2" t="s">
        <v>34</v>
      </c>
      <c r="V340" s="9">
        <v>19.3</v>
      </c>
      <c r="W340" s="5">
        <f t="shared" si="56"/>
        <v>0</v>
      </c>
      <c r="X340" s="6">
        <f t="shared" si="55"/>
        <v>0</v>
      </c>
    </row>
    <row r="341" spans="1:24" ht="12">
      <c r="A341" s="2" t="s">
        <v>1093</v>
      </c>
      <c r="B341" s="196" t="s">
        <v>1483</v>
      </c>
      <c r="C341" s="2" t="s">
        <v>1501</v>
      </c>
      <c r="D341" s="2" t="str">
        <f t="shared" si="48"/>
        <v>Kathleen WAGEMANS</v>
      </c>
      <c r="E341" s="2" t="str">
        <f t="shared" si="49"/>
        <v>WAGEMANS Kathleen</v>
      </c>
      <c r="F341" s="9">
        <v>26.1</v>
      </c>
      <c r="G341" s="9" t="s">
        <v>84</v>
      </c>
      <c r="H341" s="214">
        <v>258773</v>
      </c>
      <c r="I341" s="4" t="s">
        <v>1081</v>
      </c>
      <c r="J341" s="217" t="s">
        <v>1540</v>
      </c>
      <c r="K341" s="21">
        <v>16133</v>
      </c>
      <c r="L341" s="23">
        <f t="shared" si="50"/>
        <v>73</v>
      </c>
      <c r="M341" s="23">
        <f t="shared" si="51"/>
        <v>99.1</v>
      </c>
      <c r="N341" s="8" t="str">
        <f ca="1" t="shared" si="52"/>
        <v> </v>
      </c>
      <c r="O341" s="8" t="str">
        <f t="shared" si="53"/>
        <v> </v>
      </c>
      <c r="P341" s="8"/>
      <c r="Q341" s="2" t="s">
        <v>299</v>
      </c>
      <c r="R341" s="3">
        <v>1380</v>
      </c>
      <c r="S341" s="2" t="s">
        <v>351</v>
      </c>
      <c r="T341" s="2" t="s">
        <v>367</v>
      </c>
      <c r="U341" s="2" t="s">
        <v>678</v>
      </c>
      <c r="V341" s="9">
        <v>26.1</v>
      </c>
      <c r="W341" s="5">
        <f t="shared" si="56"/>
        <v>0</v>
      </c>
      <c r="X341" s="6">
        <f t="shared" si="55"/>
        <v>0</v>
      </c>
    </row>
    <row r="342" spans="1:24" ht="12">
      <c r="A342" s="2" t="s">
        <v>1093</v>
      </c>
      <c r="B342" s="196" t="s">
        <v>1379</v>
      </c>
      <c r="C342" s="2" t="s">
        <v>1502</v>
      </c>
      <c r="D342" s="2" t="str">
        <f t="shared" si="48"/>
        <v>Danielle WALRAVENS </v>
      </c>
      <c r="E342" s="2" t="str">
        <f t="shared" si="49"/>
        <v>WALRAVENS  Danielle</v>
      </c>
      <c r="F342" s="9">
        <v>25</v>
      </c>
      <c r="G342" s="9" t="s">
        <v>84</v>
      </c>
      <c r="H342" s="214">
        <v>227929</v>
      </c>
      <c r="I342" s="4" t="s">
        <v>1082</v>
      </c>
      <c r="J342" s="217" t="s">
        <v>1540</v>
      </c>
      <c r="K342" s="21">
        <v>20566</v>
      </c>
      <c r="L342" s="23">
        <f t="shared" si="50"/>
        <v>61</v>
      </c>
      <c r="M342" s="23">
        <f t="shared" si="51"/>
        <v>86</v>
      </c>
      <c r="N342" s="8" t="str">
        <f ca="1" t="shared" si="52"/>
        <v> </v>
      </c>
      <c r="O342" s="8" t="str">
        <f t="shared" si="53"/>
        <v> </v>
      </c>
      <c r="P342" s="8" t="s">
        <v>1540</v>
      </c>
      <c r="Q342" s="2" t="s">
        <v>300</v>
      </c>
      <c r="R342" s="3">
        <v>1700</v>
      </c>
      <c r="S342" s="2" t="s">
        <v>549</v>
      </c>
      <c r="T342" s="2" t="s">
        <v>368</v>
      </c>
      <c r="U342" s="2" t="s">
        <v>369</v>
      </c>
      <c r="V342" s="9">
        <v>25</v>
      </c>
      <c r="W342" s="5">
        <f t="shared" si="56"/>
        <v>0</v>
      </c>
      <c r="X342" s="6">
        <f t="shared" si="55"/>
        <v>0</v>
      </c>
    </row>
    <row r="343" spans="1:24" ht="12">
      <c r="A343" s="2" t="s">
        <v>1093</v>
      </c>
      <c r="B343" s="196" t="s">
        <v>1270</v>
      </c>
      <c r="C343" s="2" t="s">
        <v>1507</v>
      </c>
      <c r="D343" s="2" t="str">
        <f t="shared" si="48"/>
        <v>Viviane WEBER </v>
      </c>
      <c r="E343" s="2" t="str">
        <f t="shared" si="49"/>
        <v>WEBER  Viviane</v>
      </c>
      <c r="F343" s="9">
        <v>17.6</v>
      </c>
      <c r="G343" s="9" t="s">
        <v>84</v>
      </c>
      <c r="H343" s="214">
        <v>227949</v>
      </c>
      <c r="I343" s="4" t="s">
        <v>1083</v>
      </c>
      <c r="J343" s="217" t="s">
        <v>1540</v>
      </c>
      <c r="K343" s="21">
        <v>18643</v>
      </c>
      <c r="L343" s="23">
        <f t="shared" si="50"/>
        <v>66</v>
      </c>
      <c r="M343" s="23">
        <f t="shared" si="51"/>
        <v>83.6</v>
      </c>
      <c r="N343" s="8" t="str">
        <f ca="1" t="shared" si="52"/>
        <v> </v>
      </c>
      <c r="O343" s="8" t="str">
        <f t="shared" si="53"/>
        <v> </v>
      </c>
      <c r="P343" s="8" t="s">
        <v>1540</v>
      </c>
      <c r="Q343" s="2" t="s">
        <v>301</v>
      </c>
      <c r="R343" s="3">
        <v>1180</v>
      </c>
      <c r="S343" s="2" t="s">
        <v>546</v>
      </c>
      <c r="T343" s="2" t="s">
        <v>496</v>
      </c>
      <c r="U343" s="2" t="s">
        <v>443</v>
      </c>
      <c r="V343" s="9">
        <v>17.6</v>
      </c>
      <c r="W343" s="5">
        <f t="shared" si="56"/>
        <v>0</v>
      </c>
      <c r="X343" s="6">
        <f t="shared" si="55"/>
        <v>0</v>
      </c>
    </row>
    <row r="344" spans="1:24" ht="12">
      <c r="A344" s="2" t="s">
        <v>1092</v>
      </c>
      <c r="B344" s="196" t="s">
        <v>1503</v>
      </c>
      <c r="C344" s="2" t="s">
        <v>1508</v>
      </c>
      <c r="D344" s="2" t="str">
        <f t="shared" si="48"/>
        <v>Bernhard WEHRENS</v>
      </c>
      <c r="E344" s="2" t="str">
        <f t="shared" si="49"/>
        <v>WEHRENS Bernhard</v>
      </c>
      <c r="F344" s="9">
        <v>21.2</v>
      </c>
      <c r="G344" s="9" t="s">
        <v>84</v>
      </c>
      <c r="H344" s="214">
        <v>227953</v>
      </c>
      <c r="I344" s="4" t="s">
        <v>1084</v>
      </c>
      <c r="J344" s="217"/>
      <c r="K344" s="21">
        <v>12532</v>
      </c>
      <c r="L344" s="23">
        <f t="shared" si="50"/>
        <v>83</v>
      </c>
      <c r="M344" s="23">
        <f t="shared" si="51"/>
        <v>104.2</v>
      </c>
      <c r="N344" s="8" t="str">
        <f ca="1" t="shared" si="52"/>
        <v> </v>
      </c>
      <c r="O344" s="8" t="str">
        <f t="shared" si="53"/>
        <v> </v>
      </c>
      <c r="P344" s="8" t="s">
        <v>1540</v>
      </c>
      <c r="Q344" s="2" t="s">
        <v>302</v>
      </c>
      <c r="R344" s="3">
        <v>3090</v>
      </c>
      <c r="S344" s="2" t="s">
        <v>541</v>
      </c>
      <c r="T344" s="2" t="s">
        <v>621</v>
      </c>
      <c r="U344" s="2" t="s">
        <v>622</v>
      </c>
      <c r="V344" s="9">
        <v>21.2</v>
      </c>
      <c r="W344" s="5">
        <f t="shared" si="56"/>
        <v>0</v>
      </c>
      <c r="X344" s="6">
        <f t="shared" si="55"/>
        <v>0</v>
      </c>
    </row>
    <row r="345" spans="1:24" ht="12">
      <c r="A345" s="2" t="s">
        <v>1093</v>
      </c>
      <c r="B345" s="196" t="s">
        <v>1504</v>
      </c>
      <c r="C345" s="2" t="s">
        <v>1508</v>
      </c>
      <c r="D345" s="2" t="str">
        <f t="shared" si="48"/>
        <v>Mirène WEHRENS</v>
      </c>
      <c r="E345" s="2" t="str">
        <f t="shared" si="49"/>
        <v>WEHRENS Mirène</v>
      </c>
      <c r="F345" s="9">
        <v>25.600000381469727</v>
      </c>
      <c r="G345" s="9" t="s">
        <v>84</v>
      </c>
      <c r="H345" s="214">
        <v>227954</v>
      </c>
      <c r="I345" s="4" t="s">
        <v>1085</v>
      </c>
      <c r="J345" s="217" t="s">
        <v>1540</v>
      </c>
      <c r="K345" s="21">
        <v>16156</v>
      </c>
      <c r="L345" s="23">
        <f t="shared" si="50"/>
        <v>73</v>
      </c>
      <c r="M345" s="23">
        <f t="shared" si="51"/>
        <v>98.60000038146973</v>
      </c>
      <c r="N345" s="8" t="str">
        <f ca="1" t="shared" si="52"/>
        <v> </v>
      </c>
      <c r="O345" s="8" t="str">
        <f t="shared" si="53"/>
        <v> </v>
      </c>
      <c r="P345" s="8" t="s">
        <v>1540</v>
      </c>
      <c r="Q345" s="2" t="s">
        <v>302</v>
      </c>
      <c r="R345" s="3">
        <v>3090</v>
      </c>
      <c r="S345" s="2" t="s">
        <v>541</v>
      </c>
      <c r="T345" s="2" t="s">
        <v>621</v>
      </c>
      <c r="U345" s="2" t="s">
        <v>623</v>
      </c>
      <c r="V345" s="9">
        <v>25.600000381469727</v>
      </c>
      <c r="W345" s="5">
        <f t="shared" si="56"/>
        <v>0</v>
      </c>
      <c r="X345" s="6">
        <f t="shared" si="55"/>
        <v>0</v>
      </c>
    </row>
    <row r="346" spans="1:24" ht="12">
      <c r="A346" s="2" t="s">
        <v>1092</v>
      </c>
      <c r="B346" s="196" t="s">
        <v>1146</v>
      </c>
      <c r="C346" s="2" t="s">
        <v>1834</v>
      </c>
      <c r="D346" s="2" t="str">
        <f t="shared" si="48"/>
        <v>Michel WEILL</v>
      </c>
      <c r="E346" s="2" t="str">
        <f t="shared" si="49"/>
        <v>WEILL Michel</v>
      </c>
      <c r="F346" s="9">
        <v>25.7</v>
      </c>
      <c r="G346" s="9" t="s">
        <v>84</v>
      </c>
      <c r="H346" s="214">
        <v>1002404</v>
      </c>
      <c r="I346" s="4" t="s">
        <v>1840</v>
      </c>
      <c r="J346" s="217" t="s">
        <v>1540</v>
      </c>
      <c r="K346" s="21">
        <v>17114</v>
      </c>
      <c r="L346" s="23">
        <f t="shared" si="50"/>
        <v>70</v>
      </c>
      <c r="M346" s="23">
        <f t="shared" si="51"/>
        <v>95.7</v>
      </c>
      <c r="N346" s="8" t="str">
        <f ca="1" t="shared" si="52"/>
        <v> </v>
      </c>
      <c r="O346" s="8" t="str">
        <f t="shared" si="53"/>
        <v>y</v>
      </c>
      <c r="P346" s="8" t="s">
        <v>1540</v>
      </c>
      <c r="Q346" s="2" t="s">
        <v>1837</v>
      </c>
      <c r="R346" s="3">
        <v>1180</v>
      </c>
      <c r="S346" s="2" t="s">
        <v>546</v>
      </c>
      <c r="T346" s="2" t="s">
        <v>1838</v>
      </c>
      <c r="U346" s="2" t="s">
        <v>1841</v>
      </c>
      <c r="V346" s="9">
        <v>25.7</v>
      </c>
      <c r="W346" s="5">
        <f t="shared" si="56"/>
        <v>0</v>
      </c>
      <c r="X346" s="6">
        <f t="shared" si="55"/>
        <v>0</v>
      </c>
    </row>
    <row r="347" spans="1:24" ht="12">
      <c r="A347" s="2" t="s">
        <v>1092</v>
      </c>
      <c r="B347" s="196" t="s">
        <v>1505</v>
      </c>
      <c r="C347" s="2" t="s">
        <v>1509</v>
      </c>
      <c r="D347" s="2" t="str">
        <f t="shared" si="48"/>
        <v>Klaus WENDEL</v>
      </c>
      <c r="E347" s="2" t="str">
        <f t="shared" si="49"/>
        <v>WENDEL Klaus</v>
      </c>
      <c r="F347" s="9">
        <v>22.3</v>
      </c>
      <c r="G347" s="9" t="s">
        <v>84</v>
      </c>
      <c r="H347" s="214">
        <v>227958</v>
      </c>
      <c r="I347" s="4" t="s">
        <v>1086</v>
      </c>
      <c r="J347" s="217" t="s">
        <v>1540</v>
      </c>
      <c r="K347" s="21">
        <v>15905</v>
      </c>
      <c r="L347" s="23">
        <f t="shared" si="50"/>
        <v>73</v>
      </c>
      <c r="M347" s="23">
        <f t="shared" si="51"/>
        <v>95.3</v>
      </c>
      <c r="N347" s="8" t="str">
        <f ca="1" t="shared" si="52"/>
        <v> </v>
      </c>
      <c r="O347" s="8" t="str">
        <f t="shared" si="53"/>
        <v> </v>
      </c>
      <c r="P347" s="8" t="s">
        <v>1540</v>
      </c>
      <c r="Q347" s="2" t="s">
        <v>303</v>
      </c>
      <c r="R347" s="3">
        <v>1410</v>
      </c>
      <c r="S347" s="2" t="s">
        <v>534</v>
      </c>
      <c r="T347" s="2" t="s">
        <v>624</v>
      </c>
      <c r="U347" s="2" t="s">
        <v>446</v>
      </c>
      <c r="V347" s="9">
        <v>22.3</v>
      </c>
      <c r="W347" s="5">
        <f t="shared" si="56"/>
        <v>0</v>
      </c>
      <c r="X347" s="6">
        <f t="shared" si="55"/>
        <v>0</v>
      </c>
    </row>
    <row r="348" spans="1:25" s="211" customFormat="1" ht="12">
      <c r="A348" s="201" t="s">
        <v>1093</v>
      </c>
      <c r="B348" s="202" t="s">
        <v>1436</v>
      </c>
      <c r="C348" s="201" t="s">
        <v>143</v>
      </c>
      <c r="D348" s="201" t="str">
        <f t="shared" si="48"/>
        <v>Corine WIBAUW</v>
      </c>
      <c r="E348" s="201" t="str">
        <f t="shared" si="49"/>
        <v>WIBAUW Corine</v>
      </c>
      <c r="F348" s="203">
        <v>35</v>
      </c>
      <c r="G348" s="203"/>
      <c r="H348" s="215">
        <v>1025432</v>
      </c>
      <c r="I348" s="4" t="s">
        <v>169</v>
      </c>
      <c r="J348" s="217" t="s">
        <v>1540</v>
      </c>
      <c r="K348" s="204">
        <v>18629</v>
      </c>
      <c r="L348" s="205">
        <f t="shared" si="50"/>
        <v>66</v>
      </c>
      <c r="M348" s="205">
        <f t="shared" si="51"/>
        <v>101</v>
      </c>
      <c r="N348" s="206" t="str">
        <f ca="1" t="shared" si="52"/>
        <v> </v>
      </c>
      <c r="O348" s="206" t="str">
        <f t="shared" si="53"/>
        <v> </v>
      </c>
      <c r="P348" s="206" t="s">
        <v>1540</v>
      </c>
      <c r="Q348" s="201" t="s">
        <v>161</v>
      </c>
      <c r="R348" s="207">
        <v>6700</v>
      </c>
      <c r="S348" s="201" t="s">
        <v>162</v>
      </c>
      <c r="T348" s="201" t="s">
        <v>163</v>
      </c>
      <c r="U348" s="201" t="s">
        <v>164</v>
      </c>
      <c r="V348" s="203">
        <v>35</v>
      </c>
      <c r="W348" s="208">
        <f t="shared" si="56"/>
        <v>0</v>
      </c>
      <c r="X348" s="209">
        <f t="shared" si="55"/>
        <v>0</v>
      </c>
      <c r="Y348" s="210"/>
    </row>
    <row r="349" spans="1:24" ht="12">
      <c r="A349" s="2" t="s">
        <v>1092</v>
      </c>
      <c r="B349" s="196" t="s">
        <v>1308</v>
      </c>
      <c r="C349" s="2" t="s">
        <v>1510</v>
      </c>
      <c r="D349" s="2" t="str">
        <f t="shared" si="48"/>
        <v>Daniel WILBERZ</v>
      </c>
      <c r="E349" s="2" t="str">
        <f t="shared" si="49"/>
        <v>WILBERZ Daniel</v>
      </c>
      <c r="F349" s="9">
        <v>21.1</v>
      </c>
      <c r="G349" s="9" t="s">
        <v>83</v>
      </c>
      <c r="H349" s="214">
        <v>716220</v>
      </c>
      <c r="I349" s="4" t="s">
        <v>1087</v>
      </c>
      <c r="J349" s="217"/>
      <c r="K349" s="21">
        <v>12916</v>
      </c>
      <c r="L349" s="23">
        <f t="shared" si="50"/>
        <v>82</v>
      </c>
      <c r="M349" s="23">
        <f t="shared" si="51"/>
        <v>103.1</v>
      </c>
      <c r="N349" s="8" t="str">
        <f ca="1" t="shared" si="52"/>
        <v> </v>
      </c>
      <c r="O349" s="8" t="str">
        <f t="shared" si="53"/>
        <v> </v>
      </c>
      <c r="P349" s="8" t="s">
        <v>1540</v>
      </c>
      <c r="Q349" s="2" t="s">
        <v>304</v>
      </c>
      <c r="R349" s="3">
        <v>1050</v>
      </c>
      <c r="S349" s="2" t="s">
        <v>546</v>
      </c>
      <c r="T349" s="2"/>
      <c r="U349" s="2" t="s">
        <v>735</v>
      </c>
      <c r="V349" s="9">
        <v>21.1</v>
      </c>
      <c r="W349" s="5">
        <f t="shared" si="56"/>
        <v>0</v>
      </c>
      <c r="X349" s="6">
        <f t="shared" si="55"/>
        <v>0</v>
      </c>
    </row>
    <row r="350" spans="1:24" ht="12">
      <c r="A350" s="2" t="s">
        <v>1093</v>
      </c>
      <c r="B350" s="196" t="s">
        <v>1506</v>
      </c>
      <c r="C350" s="2" t="s">
        <v>1511</v>
      </c>
      <c r="D350" s="2" t="str">
        <f t="shared" si="48"/>
        <v>France WINSSINGER </v>
      </c>
      <c r="E350" s="2" t="str">
        <f t="shared" si="49"/>
        <v>WINSSINGER  France</v>
      </c>
      <c r="F350" s="9">
        <v>17</v>
      </c>
      <c r="G350" s="9" t="s">
        <v>83</v>
      </c>
      <c r="H350" s="214">
        <v>227972</v>
      </c>
      <c r="I350" s="4" t="s">
        <v>1088</v>
      </c>
      <c r="J350" s="217" t="s">
        <v>1540</v>
      </c>
      <c r="K350" s="21">
        <v>18354</v>
      </c>
      <c r="L350" s="23">
        <f t="shared" si="50"/>
        <v>67</v>
      </c>
      <c r="M350" s="23">
        <f t="shared" si="51"/>
        <v>84</v>
      </c>
      <c r="N350" s="8" t="str">
        <f ca="1" t="shared" si="52"/>
        <v> </v>
      </c>
      <c r="O350" s="8" t="str">
        <f t="shared" si="53"/>
        <v> </v>
      </c>
      <c r="P350" s="8"/>
      <c r="Q350" s="2" t="s">
        <v>305</v>
      </c>
      <c r="R350" s="3">
        <v>1380</v>
      </c>
      <c r="S350" s="2" t="s">
        <v>351</v>
      </c>
      <c r="T350" s="2" t="s">
        <v>625</v>
      </c>
      <c r="U350" s="2" t="s">
        <v>626</v>
      </c>
      <c r="V350" s="9">
        <v>17</v>
      </c>
      <c r="W350" s="5">
        <f t="shared" si="56"/>
        <v>0</v>
      </c>
      <c r="X350" s="6">
        <f t="shared" si="55"/>
        <v>0</v>
      </c>
    </row>
    <row r="351" spans="1:24" ht="12">
      <c r="A351" s="2" t="s">
        <v>1093</v>
      </c>
      <c r="B351" s="196" t="s">
        <v>1506</v>
      </c>
      <c r="C351" s="2" t="s">
        <v>1512</v>
      </c>
      <c r="D351" s="2" t="str">
        <f t="shared" si="48"/>
        <v>France WISNIA </v>
      </c>
      <c r="E351" s="2" t="str">
        <f t="shared" si="49"/>
        <v>WISNIA  France</v>
      </c>
      <c r="F351" s="9">
        <v>18.4</v>
      </c>
      <c r="G351" s="9" t="s">
        <v>84</v>
      </c>
      <c r="H351" s="214">
        <v>227975</v>
      </c>
      <c r="I351" s="4" t="s">
        <v>1089</v>
      </c>
      <c r="J351" s="217" t="s">
        <v>1540</v>
      </c>
      <c r="K351" s="21">
        <v>16935</v>
      </c>
      <c r="L351" s="23">
        <f t="shared" si="50"/>
        <v>71</v>
      </c>
      <c r="M351" s="23">
        <f t="shared" si="51"/>
        <v>89.4</v>
      </c>
      <c r="N351" s="8" t="str">
        <f ca="1" t="shared" si="52"/>
        <v> </v>
      </c>
      <c r="O351" s="8" t="str">
        <f t="shared" si="53"/>
        <v> </v>
      </c>
      <c r="P351" s="8" t="s">
        <v>1540</v>
      </c>
      <c r="Q351" s="2" t="s">
        <v>306</v>
      </c>
      <c r="R351" s="3">
        <v>1640</v>
      </c>
      <c r="S351" s="2" t="s">
        <v>345</v>
      </c>
      <c r="T351" s="2" t="s">
        <v>627</v>
      </c>
      <c r="U351" s="2" t="s">
        <v>628</v>
      </c>
      <c r="V351" s="9">
        <v>18.4</v>
      </c>
      <c r="W351" s="5">
        <f t="shared" si="56"/>
        <v>0</v>
      </c>
      <c r="X351" s="6">
        <f t="shared" si="55"/>
        <v>0</v>
      </c>
    </row>
    <row r="352" spans="1:24" ht="12">
      <c r="A352" s="2" t="s">
        <v>1092</v>
      </c>
      <c r="B352" s="196" t="s">
        <v>1160</v>
      </c>
      <c r="C352" s="2" t="s">
        <v>1513</v>
      </c>
      <c r="D352" s="2" t="str">
        <f t="shared" si="48"/>
        <v>Jacques ZODY </v>
      </c>
      <c r="E352" s="2" t="str">
        <f t="shared" si="49"/>
        <v>ZODY  Jacques</v>
      </c>
      <c r="F352" s="9">
        <v>34.7</v>
      </c>
      <c r="G352" s="9" t="s">
        <v>84</v>
      </c>
      <c r="H352" s="214">
        <v>196340</v>
      </c>
      <c r="I352" s="4" t="s">
        <v>1986</v>
      </c>
      <c r="J352" s="217" t="s">
        <v>1540</v>
      </c>
      <c r="K352" s="21">
        <v>21251</v>
      </c>
      <c r="L352" s="23">
        <f t="shared" si="50"/>
        <v>59</v>
      </c>
      <c r="M352" s="23">
        <f t="shared" si="51"/>
        <v>93.7</v>
      </c>
      <c r="N352" s="8" t="str">
        <f ca="1" t="shared" si="52"/>
        <v> </v>
      </c>
      <c r="O352" s="8" t="str">
        <f t="shared" si="53"/>
        <v> </v>
      </c>
      <c r="P352" s="8" t="s">
        <v>1540</v>
      </c>
      <c r="Q352" s="2" t="s">
        <v>1927</v>
      </c>
      <c r="R352" s="3">
        <v>1650</v>
      </c>
      <c r="S352" s="2" t="s">
        <v>347</v>
      </c>
      <c r="T352" s="2" t="s">
        <v>1933</v>
      </c>
      <c r="U352" s="2" t="s">
        <v>1926</v>
      </c>
      <c r="V352" s="9">
        <v>34.7</v>
      </c>
      <c r="W352" s="5">
        <f t="shared" si="56"/>
        <v>0</v>
      </c>
      <c r="X352" s="6">
        <f t="shared" si="55"/>
        <v>0</v>
      </c>
    </row>
    <row r="353" spans="1:25" ht="12">
      <c r="A353" s="2" t="s">
        <v>1093</v>
      </c>
      <c r="B353" s="196" t="s">
        <v>1372</v>
      </c>
      <c r="C353" s="2" t="s">
        <v>1513</v>
      </c>
      <c r="D353" s="2" t="str">
        <f t="shared" si="48"/>
        <v>Jeanine ZODY </v>
      </c>
      <c r="E353" s="2" t="str">
        <f t="shared" si="49"/>
        <v>ZODY  Jeanine</v>
      </c>
      <c r="F353" s="9">
        <v>20.3</v>
      </c>
      <c r="G353" s="9" t="s">
        <v>84</v>
      </c>
      <c r="H353" s="214">
        <v>227992</v>
      </c>
      <c r="I353" s="4" t="s">
        <v>1090</v>
      </c>
      <c r="J353" s="217" t="s">
        <v>1540</v>
      </c>
      <c r="K353" s="21">
        <v>18283</v>
      </c>
      <c r="L353" s="23">
        <f t="shared" si="50"/>
        <v>67</v>
      </c>
      <c r="M353" s="23">
        <f t="shared" si="51"/>
        <v>87.3</v>
      </c>
      <c r="N353" s="8" t="str">
        <f ca="1" t="shared" si="52"/>
        <v> </v>
      </c>
      <c r="O353" s="8" t="str">
        <f t="shared" si="53"/>
        <v> </v>
      </c>
      <c r="P353" s="8" t="s">
        <v>1540</v>
      </c>
      <c r="Q353" s="2" t="s">
        <v>307</v>
      </c>
      <c r="R353" s="3">
        <v>1640</v>
      </c>
      <c r="S353" s="2" t="s">
        <v>345</v>
      </c>
      <c r="T353" s="2" t="s">
        <v>425</v>
      </c>
      <c r="U353" s="2" t="s">
        <v>426</v>
      </c>
      <c r="V353" s="9">
        <v>20.3</v>
      </c>
      <c r="W353" s="5">
        <f t="shared" si="56"/>
        <v>0</v>
      </c>
      <c r="X353" s="6">
        <f t="shared" si="55"/>
        <v>0</v>
      </c>
      <c r="Y353" s="200"/>
    </row>
    <row r="354" spans="1:24" ht="3" customHeight="1">
      <c r="A354" s="29"/>
      <c r="B354" s="198"/>
      <c r="C354" s="29"/>
      <c r="D354" s="29"/>
      <c r="E354" s="29"/>
      <c r="F354" s="85"/>
      <c r="G354" s="30"/>
      <c r="H354" s="84"/>
      <c r="J354" s="159"/>
      <c r="K354" s="86"/>
      <c r="L354" s="84"/>
      <c r="M354" s="83"/>
      <c r="N354" s="31"/>
      <c r="O354" s="31"/>
      <c r="P354" s="31"/>
      <c r="Q354" s="29"/>
      <c r="R354" s="30"/>
      <c r="S354" s="29"/>
      <c r="T354" s="29"/>
      <c r="U354" s="29"/>
      <c r="V354" s="30"/>
      <c r="W354" s="29"/>
      <c r="X354" s="192"/>
    </row>
  </sheetData>
  <sheetProtection/>
  <mergeCells count="1">
    <mergeCell ref="N1:O1"/>
  </mergeCells>
  <hyperlinks>
    <hyperlink ref="I173" r:id="rId1" display="louise.herman@numericable.be ;"/>
    <hyperlink ref="I271" r:id="rId2" display="michel.screvens@gmail.com ;"/>
    <hyperlink ref="I126" r:id="rId3" display="erreramarc@gmail.com ;"/>
    <hyperlink ref="I274" r:id="rId4" display="alexandra.severyns@gmail.com ;"/>
    <hyperlink ref="I42" r:id="rId5" display="arianecherequefosse@hotmail.com ;"/>
    <hyperlink ref="I61" r:id="rId6" display="isa.debeir@gmail.com ;"/>
    <hyperlink ref="I176" r:id="rId7" display="thirschland@lesuco.be ;"/>
    <hyperlink ref="I208" r:id="rId8" display="christine.letreguilly@gmail.com ;"/>
    <hyperlink ref="I34" r:id="rId9" display="lescalas@skynet.be ;"/>
    <hyperlink ref="I67" r:id="rId10" display="jdefailly@gmail.com ;"/>
    <hyperlink ref="I194" r:id="rId11" display="michel.kahan@skynet.be ;"/>
    <hyperlink ref="I204" r:id="rId12" display="cathychanu@gmail.com ;"/>
    <hyperlink ref="I227" r:id="rId13" display="georges.meert@telenet.be ;"/>
    <hyperlink ref="I228" r:id="rId14" display="patricia.meert-becker@telenet.be ;"/>
    <hyperlink ref="I184" r:id="rId15" display="brigitte.jacquet-liesse@hotmail.com ;"/>
    <hyperlink ref="I53" r:id="rId16" display="dagnelie.uccle@gmail.com ;"/>
    <hyperlink ref="I54" r:id="rId17" display="dagnelie.uccle@gmail.com ;"/>
    <hyperlink ref="I124" r:id="rId18" display="wolfgang.entmayr@telenet.be ;"/>
    <hyperlink ref="I50" r:id="rId19" display="coppens.jacques@gmail.com ;"/>
    <hyperlink ref="I95" r:id="rId20" display="deprezchristiang@gmail.com ;"/>
    <hyperlink ref="I260" r:id="rId21" display="michel.prizzon@gmail.com ;"/>
    <hyperlink ref="I236" r:id="rId22" display="gmoszer@gmail.com ;"/>
    <hyperlink ref="I237" r:id="rId23" display="moszermonique@gmail.com ;"/>
    <hyperlink ref="I89" r:id="rId24" display="michel.decuypere@hotmail.com ;"/>
    <hyperlink ref="I181" r:id="rId25" display="pierre@idedebeir.be ;"/>
    <hyperlink ref="I72" r:id="rId26" display="vemhpins@gmail.com ;"/>
    <hyperlink ref="I240" r:id="rId27" display="lneid08@gmail.com ;"/>
    <hyperlink ref="I129" r:id="rId28" display="chrisverhoeven@telenet.be ;"/>
    <hyperlink ref="I144" r:id="rId29" display="dghorain@hotmail.com ;"/>
    <hyperlink ref="I244" r:id="rId30" display="Sieglinde.Entmayr@telenet.be ;"/>
    <hyperlink ref="I100" r:id="rId31" display="aaapr@skynet.be ;"/>
    <hyperlink ref="I209" r:id="rId32" display="viviane.levi@gmail.com ;"/>
    <hyperlink ref="I276" r:id="rId33" display="dsiret5@gmail.com ;"/>
    <hyperlink ref="I277" r:id="rId34" display="Pierre_siret@hotmail.com ;"/>
    <hyperlink ref="I267" r:id="rId35" display="rodeschp@skynet.be;"/>
    <hyperlink ref="I159" r:id="rId36" display="goris.michelle@skynet.be ;"/>
    <hyperlink ref="I264" r:id="rId37" display="fransquix@gmail.com ;"/>
    <hyperlink ref="I139" r:id="rId38" display="lougailly@hotmail.com ;"/>
    <hyperlink ref="I108" r:id="rId39" display="mailto:Robert.draper@skynet.be"/>
    <hyperlink ref="I93" r:id="rId40" display="jeanpierredembour@gmail.com ;"/>
    <hyperlink ref="I69" r:id="rId41" display="christian.degoussencourt@outlook.com ;"/>
    <hyperlink ref="I24" r:id="rId42" display="bernard.boulange@hotmail.com ;"/>
    <hyperlink ref="I172" r:id="rId43" display="christineherinckx@skynet.be ;"/>
    <hyperlink ref="I269" r:id="rId44" display="tutti@skynet.be ;"/>
    <hyperlink ref="I45" r:id="rId45" display="peumans-inge@skynet.be ;"/>
    <hyperlink ref="I81" r:id="rId46" display="Do.vanparys@gmail.com  ;"/>
    <hyperlink ref="I145" r:id="rId47" display="aamghuys@gmail.com ;"/>
    <hyperlink ref="I146" r:id="rId48" display="aamghuys@gmail.com ;"/>
    <hyperlink ref="I147" r:id="rId49" display="r.gillerot@ghgroup.be ;"/>
    <hyperlink ref="I37" r:id="rId50" display="frank.carniol@gmail.com ;"/>
    <hyperlink ref="I241" r:id="rId51" display="grazia.zanella@hotmail.com ;"/>
    <hyperlink ref="I254" r:id="rId52" display="hans.perdok@hotmail.com ;"/>
    <hyperlink ref="I234" r:id="rId53" display="aaapr@skynet.be ;"/>
    <hyperlink ref="I132" r:id="rId54" display="sonforster@hotmail.com ;"/>
    <hyperlink ref="I314" r:id="rId55" display="pat.vanhoutryve@gmail.com ;"/>
    <hyperlink ref="I346" r:id="rId56" display="wevapra@gmail.com  ;"/>
    <hyperlink ref="I315" r:id="rId57" display="rwevapra@gmail.com  ;"/>
    <hyperlink ref="I323" r:id="rId58" display="martinehautain@hotmail.com ;"/>
    <hyperlink ref="I305" r:id="rId59" display="Hubert.vandelft@hotmail.com ;"/>
    <hyperlink ref="I319" r:id="rId60" display="jean-claude.vandenbosch@skynet.be ;"/>
    <hyperlink ref="I326" r:id="rId61" display="guy.verhaeghe173@gmail.com ;"/>
    <hyperlink ref="I352" r:id="rId62" display="j.zody@skynet.be ;"/>
    <hyperlink ref="I195" r:id="rId63" display="jose.keuwez@skynet.be ;"/>
    <hyperlink ref="I125" r:id="rId64" display="bernadette.erpicum@gmail.com ;"/>
    <hyperlink ref="I127" r:id="rId65" display="afayard@club-internet.fr"/>
    <hyperlink ref="I18" r:id="rId66" display="micheleblaimont88@gmail.com ;"/>
    <hyperlink ref="I157" r:id="rId67" display="goffin8@gmail.com ;"/>
    <hyperlink ref="I84" r:id="rId68" display="regine.dewitte@hotmail.com ;"/>
    <hyperlink ref="I110" r:id="rId69" display="carbonezero@gmail.com ;"/>
    <hyperlink ref="I164" r:id="rId70" display="francisgustot@hotmail.com ;"/>
    <hyperlink ref="Q172" r:id="rId71" display="mailto:christineherinckx@skynet.be"/>
    <hyperlink ref="I198" r:id="rId72" display="mailto:philippe.lacourt@dh.be"/>
    <hyperlink ref="I279" r:id="rId73" display="hildevanderstichele@hotmail.com ;"/>
    <hyperlink ref="I253" r:id="rId74" display="lo.pauwels@skynet.be ;"/>
    <hyperlink ref="I15" r:id="rId75" display="pierreyves.bene@gmail.com ;"/>
    <hyperlink ref="I14" r:id="rId76" display="pierreyves.bene@gmail.com ;"/>
    <hyperlink ref="I281" r:id="rId77" display="smeyers.f@skynet.be ;"/>
    <hyperlink ref="I321" r:id="rId78" display="dvb@tdconsulting.be ;"/>
    <hyperlink ref="I99" r:id="rId79" display="Chantal.devriendt@gmail.com ;"/>
    <hyperlink ref="I88" r:id="rId80" display="debussche.devriendt@gmail.com ;"/>
    <hyperlink ref="I292" r:id="rId81" display="paul.terlinck@gmail.com ;"/>
    <hyperlink ref="I44" r:id="rId82" display="haigchim@gmail.com ;"/>
    <hyperlink ref="S207" r:id="rId83" display="http://www.codes.postaux.be/commune-court-saint-etienne.php"/>
    <hyperlink ref="I7" r:id="rId84" display="b.basecqz@hotmail.com ;"/>
    <hyperlink ref="I338" r:id="rId85" display="philippe.voortman@gmail.com ;"/>
    <hyperlink ref="I160" r:id="rId86" display="axelle.goubau@telenet.be ;"/>
    <hyperlink ref="I48" r:id="rId87" display="pierre.colard@coficre.be ;"/>
    <hyperlink ref="I32" r:id="rId88" display="jean.brasseur@skynet.be ;"/>
    <hyperlink ref="I255" r:id="rId89" display="micheline.petit@skynet.be ;"/>
    <hyperlink ref="I232" r:id="rId90" display="j.miccoli@skynet.be ;"/>
    <hyperlink ref="I340" r:id="rId91" display="paul@voute.be ;"/>
    <hyperlink ref="I207" r:id="rId92" display="philerat@gmail.com ;"/>
    <hyperlink ref="I122" r:id="rId93" display="micheggerickx@skynet.be ;"/>
    <hyperlink ref="I65" r:id="rId94" display="couet@skynet.be ;"/>
    <hyperlink ref="I98" r:id="rId95" display="d.wolfs@telenet.be ;"/>
    <hyperlink ref="I134" r:id="rId96" display="mifoursport9@gmail.com ;"/>
    <hyperlink ref="I9" r:id="rId97" display="beatrice.struye@me.com ;"/>
    <hyperlink ref="I12" r:id="rId98" display="m.baube@gmail.com ;"/>
    <hyperlink ref="I36" r:id="rId99" display="acareme61@gmail.com ;"/>
    <hyperlink ref="I205" r:id="rId100" display="christianlemaigre@yahoo.fr ;"/>
    <hyperlink ref="I196" r:id="rId101" display="rhonda_perraudin@yahoo.com ;"/>
    <hyperlink ref="I111" r:id="rId102" display="duboisgh14@gmail.com ;"/>
    <hyperlink ref="I70" r:id="rId103" display="jdekriek@gmail.com ;"/>
    <hyperlink ref="I334" r:id="rId104" display="jverva@hotmail.fr ;"/>
    <hyperlink ref="I13" r:id="rId105" display="mailto:christine.beniada@gmail.com"/>
    <hyperlink ref="I27" r:id="rId106" display="mailto:jf.brachotte@free.fr"/>
    <hyperlink ref="I218" r:id="rId107" display="mailto:michel.malschaert@challenger.be"/>
    <hyperlink ref="I299" r:id="rId108" display="michel.troubetzkoy@avisapartners.eu ;"/>
    <hyperlink ref="I137" r:id="rId109" display="mailto:etienne.frisque@gmail.com"/>
    <hyperlink ref="I302" r:id="rId110" display="art.benoit@hotmail.com ;"/>
    <hyperlink ref="I29" r:id="rId111" display="braem.francine@skynet.be ;"/>
    <hyperlink ref="I51" r:id="rId112" display="miroska@live.be ;"/>
    <hyperlink ref="I301" r:id="rId113" display="daniele_vanbeers@skynet.be;"/>
    <hyperlink ref="I353" r:id="rId114" display="jeanine.zody@gmail.com ;"/>
    <hyperlink ref="I348" r:id="rId115" display="cwybauw@hotmail.com ;"/>
    <hyperlink ref="I231" r:id="rId116" display="mailto:info@marchand.be"/>
    <hyperlink ref="I224" r:id="rId117" display="info@marchand.be ;"/>
    <hyperlink ref="I8" r:id="rId118" display="cathy@basecqz.com ;"/>
    <hyperlink ref="I40" r:id="rId119" display="sc@sergecaustur.be ;"/>
    <hyperlink ref="I270" r:id="rId120" display="jd.scowcroft@gmail.com ;"/>
    <hyperlink ref="I335" r:id="rId121" display="lucinge@hotmail.com ;"/>
    <hyperlink ref="I135" r:id="rId122" display="latifa.maiz@me.com ;"/>
  </hyperlinks>
  <printOptions/>
  <pageMargins left="0" right="0" top="0" bottom="0" header="0" footer="0"/>
  <pageSetup horizontalDpi="600" verticalDpi="600" orientation="landscape" paperSize="9" r:id="rId123"/>
  <rowBreaks count="1" manualBreakCount="1">
    <brk id="35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469"/>
  <sheetViews>
    <sheetView tabSelected="1" zoomScalePageLayoutView="0" workbookViewId="0" topLeftCell="A1">
      <selection activeCell="J25" sqref="J25"/>
    </sheetView>
  </sheetViews>
  <sheetFormatPr defaultColWidth="26.7109375" defaultRowHeight="12.75"/>
  <cols>
    <col min="1" max="1" width="6.7109375" style="222" customWidth="1"/>
    <col min="2" max="3" width="4.8515625" style="7" customWidth="1"/>
    <col min="4" max="4" width="4.140625" style="7" customWidth="1"/>
    <col min="5" max="5" width="8.8515625" style="11" hidden="1" customWidth="1"/>
    <col min="6" max="7" width="8.8515625" style="0" hidden="1" customWidth="1"/>
    <col min="8" max="8" width="27.57421875" style="0" customWidth="1"/>
    <col min="9" max="9" width="5.7109375" style="15" customWidth="1"/>
    <col min="10" max="10" width="7.421875" style="265" customWidth="1"/>
    <col min="11" max="13" width="0.13671875" style="7" customWidth="1"/>
    <col min="14" max="14" width="5.57421875" style="7" customWidth="1"/>
    <col min="15" max="15" width="21.57421875" style="273" customWidth="1"/>
    <col min="16" max="16" width="7.140625" style="273" customWidth="1"/>
    <col min="17" max="17" width="13.421875" style="273" customWidth="1"/>
    <col min="18" max="18" width="6.140625" style="7" customWidth="1"/>
    <col min="19" max="19" width="26.7109375" style="271" customWidth="1"/>
    <col min="20" max="16384" width="26.7109375" style="7" customWidth="1"/>
  </cols>
  <sheetData>
    <row r="1" spans="1:19" s="14" customFormat="1" ht="45" customHeight="1" thickBot="1">
      <c r="A1" s="223">
        <v>0.4583333333333333</v>
      </c>
      <c r="B1" s="224" t="s">
        <v>207</v>
      </c>
      <c r="C1" s="224" t="s">
        <v>217</v>
      </c>
      <c r="D1" s="224" t="s">
        <v>1093</v>
      </c>
      <c r="E1" s="225" t="s">
        <v>1234</v>
      </c>
      <c r="F1" s="224" t="s">
        <v>1317</v>
      </c>
      <c r="G1" s="224" t="str">
        <f>E1&amp;" "&amp;F1</f>
        <v>Anne-Marie GHUYS </v>
      </c>
      <c r="H1" s="224" t="str">
        <f>F1&amp;" "&amp;E1</f>
        <v>GHUYS  Anne-Marie</v>
      </c>
      <c r="I1" s="226">
        <v>14.2</v>
      </c>
      <c r="J1" s="260"/>
      <c r="K1" s="257"/>
      <c r="L1" s="227"/>
      <c r="M1" s="227"/>
      <c r="N1" s="14" t="s">
        <v>239</v>
      </c>
      <c r="O1" s="272" t="s">
        <v>229</v>
      </c>
      <c r="P1" s="272">
        <v>11.9</v>
      </c>
      <c r="Q1" s="272">
        <v>173211</v>
      </c>
      <c r="R1" s="14" t="s">
        <v>239</v>
      </c>
      <c r="S1" s="270"/>
    </row>
    <row r="2" spans="1:17" ht="12">
      <c r="A2" s="220">
        <v>0.4583333333333333</v>
      </c>
      <c r="B2" s="175" t="s">
        <v>207</v>
      </c>
      <c r="C2" s="175" t="s">
        <v>217</v>
      </c>
      <c r="D2" s="2" t="s">
        <v>1092</v>
      </c>
      <c r="E2" s="196" t="s">
        <v>1478</v>
      </c>
      <c r="F2" s="2" t="s">
        <v>1495</v>
      </c>
      <c r="G2" s="2" t="str">
        <f>E2&amp;" "&amp;F2</f>
        <v>Olivier VEROLA </v>
      </c>
      <c r="H2" s="2" t="str">
        <f>F2&amp;" "&amp;E2</f>
        <v>VEROLA  Olivier</v>
      </c>
      <c r="I2" s="9">
        <v>6.2</v>
      </c>
      <c r="J2" s="261">
        <v>712858</v>
      </c>
      <c r="K2" s="258"/>
      <c r="L2" s="2"/>
      <c r="M2" s="2"/>
      <c r="O2" s="273" t="s">
        <v>230</v>
      </c>
      <c r="P2" s="273">
        <v>11.9</v>
      </c>
      <c r="Q2" s="273">
        <v>175219</v>
      </c>
    </row>
    <row r="3" spans="1:18" ht="12.75" thickBot="1">
      <c r="A3" s="251"/>
      <c r="B3" s="227"/>
      <c r="C3" s="227"/>
      <c r="D3" s="227"/>
      <c r="E3" s="252"/>
      <c r="F3" s="227"/>
      <c r="G3" s="227"/>
      <c r="H3" s="227"/>
      <c r="I3" s="226"/>
      <c r="J3" s="260"/>
      <c r="K3" s="258"/>
      <c r="L3" s="2"/>
      <c r="M3" s="2"/>
      <c r="N3" s="266"/>
      <c r="O3" s="274"/>
      <c r="P3" s="274"/>
      <c r="Q3" s="274"/>
      <c r="R3" s="254"/>
    </row>
    <row r="4" spans="1:17" ht="12">
      <c r="A4" s="220">
        <v>0.46527777777777773</v>
      </c>
      <c r="B4" s="175" t="s">
        <v>208</v>
      </c>
      <c r="C4" s="175" t="s">
        <v>217</v>
      </c>
      <c r="D4" s="175" t="s">
        <v>1092</v>
      </c>
      <c r="E4" s="232" t="s">
        <v>1146</v>
      </c>
      <c r="F4" s="175" t="s">
        <v>1145</v>
      </c>
      <c r="G4" s="175" t="str">
        <f>E4&amp;" "&amp;F4</f>
        <v>Michel ANNEZ de TABOADA </v>
      </c>
      <c r="H4" s="175" t="str">
        <f>F4&amp;" "&amp;E4</f>
        <v>ANNEZ de TABOADA  Michel</v>
      </c>
      <c r="I4" s="233">
        <v>19</v>
      </c>
      <c r="J4" s="262">
        <v>703335</v>
      </c>
      <c r="K4" s="258"/>
      <c r="L4" s="2"/>
      <c r="M4" s="2"/>
      <c r="O4" s="273" t="s">
        <v>227</v>
      </c>
      <c r="P4" s="273">
        <v>11.2</v>
      </c>
      <c r="Q4" s="273">
        <v>215525</v>
      </c>
    </row>
    <row r="5" spans="1:17" ht="12">
      <c r="A5" s="221">
        <v>0.46527777777777773</v>
      </c>
      <c r="B5" s="2" t="s">
        <v>208</v>
      </c>
      <c r="C5" s="2" t="s">
        <v>217</v>
      </c>
      <c r="D5" s="2" t="s">
        <v>1093</v>
      </c>
      <c r="E5" s="196" t="s">
        <v>1527</v>
      </c>
      <c r="F5" s="2" t="s">
        <v>1525</v>
      </c>
      <c r="G5" s="2" t="str">
        <f>E5&amp;" "&amp;F5</f>
        <v>Mylène DEWIT </v>
      </c>
      <c r="H5" s="2" t="str">
        <f>F5&amp;" "&amp;E5</f>
        <v>DEWIT  Mylène</v>
      </c>
      <c r="I5" s="9">
        <v>11.1</v>
      </c>
      <c r="J5" s="261">
        <v>227069</v>
      </c>
      <c r="K5" s="258"/>
      <c r="L5" s="2"/>
      <c r="M5" s="2"/>
      <c r="O5" s="273" t="s">
        <v>228</v>
      </c>
      <c r="P5" s="273">
        <v>19.9</v>
      </c>
      <c r="Q5" s="273">
        <v>126925</v>
      </c>
    </row>
    <row r="6" spans="1:18" ht="12.75" thickBot="1">
      <c r="A6" s="251"/>
      <c r="B6" s="227"/>
      <c r="C6" s="227"/>
      <c r="D6" s="227"/>
      <c r="E6" s="252"/>
      <c r="F6" s="227"/>
      <c r="G6" s="227"/>
      <c r="H6" s="227"/>
      <c r="I6" s="226"/>
      <c r="J6" s="260"/>
      <c r="K6" s="258"/>
      <c r="L6" s="2"/>
      <c r="M6" s="2"/>
      <c r="N6" s="266"/>
      <c r="O6" s="274"/>
      <c r="P6" s="274"/>
      <c r="Q6" s="274"/>
      <c r="R6" s="254"/>
    </row>
    <row r="7" spans="1:17" ht="12">
      <c r="A7" s="220">
        <v>0.47222222222222227</v>
      </c>
      <c r="B7" s="175" t="s">
        <v>209</v>
      </c>
      <c r="C7" s="175" t="s">
        <v>217</v>
      </c>
      <c r="D7" s="175" t="s">
        <v>1092</v>
      </c>
      <c r="E7" s="232" t="s">
        <v>1308</v>
      </c>
      <c r="F7" s="175" t="s">
        <v>1449</v>
      </c>
      <c r="G7" s="175" t="str">
        <f>E7&amp;" "&amp;F7</f>
        <v>Daniel SLITS </v>
      </c>
      <c r="H7" s="175" t="str">
        <f>F7&amp;" "&amp;E7</f>
        <v>SLITS  Daniel</v>
      </c>
      <c r="I7" s="233">
        <v>13.7</v>
      </c>
      <c r="J7" s="262">
        <v>227738</v>
      </c>
      <c r="K7" s="258"/>
      <c r="L7" s="2"/>
      <c r="M7" s="2"/>
      <c r="O7" s="273" t="s">
        <v>225</v>
      </c>
      <c r="P7" s="273">
        <v>14</v>
      </c>
      <c r="Q7" s="273">
        <v>250876</v>
      </c>
    </row>
    <row r="8" spans="1:17" ht="12">
      <c r="A8" s="221">
        <v>0.47222222222222227</v>
      </c>
      <c r="B8" s="2" t="s">
        <v>209</v>
      </c>
      <c r="C8" s="2" t="s">
        <v>217</v>
      </c>
      <c r="D8" s="2" t="s">
        <v>1093</v>
      </c>
      <c r="E8" s="196" t="s">
        <v>1274</v>
      </c>
      <c r="F8" s="2" t="s">
        <v>1286</v>
      </c>
      <c r="G8" s="2" t="str">
        <f>E8&amp;" "&amp;F8</f>
        <v>Yolande DURANT</v>
      </c>
      <c r="H8" s="2" t="str">
        <f>F8&amp;" "&amp;E8</f>
        <v>DURANT Yolande</v>
      </c>
      <c r="I8" s="9">
        <v>14.7</v>
      </c>
      <c r="J8" s="261">
        <v>227103</v>
      </c>
      <c r="K8" s="258"/>
      <c r="L8" s="2"/>
      <c r="M8" s="2"/>
      <c r="O8" s="273" t="s">
        <v>226</v>
      </c>
      <c r="P8" s="273">
        <v>14.2</v>
      </c>
      <c r="Q8" s="273">
        <v>172990</v>
      </c>
    </row>
    <row r="9" spans="1:18" ht="12.75" thickBot="1">
      <c r="A9" s="251"/>
      <c r="B9" s="227"/>
      <c r="C9" s="227"/>
      <c r="D9" s="227"/>
      <c r="E9" s="252"/>
      <c r="F9" s="227"/>
      <c r="G9" s="227"/>
      <c r="H9" s="227"/>
      <c r="I9" s="226"/>
      <c r="J9" s="260"/>
      <c r="K9" s="268"/>
      <c r="L9" s="227"/>
      <c r="M9" s="227"/>
      <c r="N9" s="254"/>
      <c r="O9" s="274"/>
      <c r="P9" s="274"/>
      <c r="Q9" s="274"/>
      <c r="R9" s="254"/>
    </row>
    <row r="10" spans="1:17" ht="12">
      <c r="A10" s="220">
        <v>0.4791666666666667</v>
      </c>
      <c r="B10" s="175" t="s">
        <v>210</v>
      </c>
      <c r="C10" s="175" t="s">
        <v>217</v>
      </c>
      <c r="D10" s="175" t="s">
        <v>1093</v>
      </c>
      <c r="E10" s="232" t="s">
        <v>1152</v>
      </c>
      <c r="F10" s="175" t="s">
        <v>1151</v>
      </c>
      <c r="G10" s="175" t="str">
        <f>E10&amp;" "&amp;F10</f>
        <v>Michelle BARROY </v>
      </c>
      <c r="H10" s="175" t="str">
        <f>F10&amp;" "&amp;E10</f>
        <v>BARROY  Michelle</v>
      </c>
      <c r="I10" s="233">
        <v>11.1</v>
      </c>
      <c r="J10" s="262">
        <v>226753</v>
      </c>
      <c r="K10" s="267"/>
      <c r="L10" s="175"/>
      <c r="M10" s="175"/>
      <c r="O10" s="273" t="s">
        <v>231</v>
      </c>
      <c r="P10" s="273">
        <v>14.4</v>
      </c>
      <c r="Q10" s="273">
        <v>182833</v>
      </c>
    </row>
    <row r="11" spans="1:17" ht="12">
      <c r="A11" s="221">
        <v>0.4791666666666667</v>
      </c>
      <c r="B11" s="2" t="s">
        <v>210</v>
      </c>
      <c r="C11" s="2" t="s">
        <v>217</v>
      </c>
      <c r="D11" s="2" t="s">
        <v>1092</v>
      </c>
      <c r="E11" s="196" t="s">
        <v>1253</v>
      </c>
      <c r="F11" s="2" t="s">
        <v>1463</v>
      </c>
      <c r="G11" s="2" t="str">
        <f>E11&amp;" "&amp;F11</f>
        <v>Pierre THYS</v>
      </c>
      <c r="H11" s="2" t="str">
        <f>F11&amp;" "&amp;E11</f>
        <v>THYS Pierre</v>
      </c>
      <c r="I11" s="9">
        <v>14</v>
      </c>
      <c r="J11" s="261">
        <v>227803</v>
      </c>
      <c r="K11" s="258"/>
      <c r="L11" s="2"/>
      <c r="M11" s="2"/>
      <c r="O11" s="273" t="s">
        <v>232</v>
      </c>
      <c r="P11" s="273">
        <v>17.5</v>
      </c>
      <c r="Q11" s="273">
        <v>254608</v>
      </c>
    </row>
    <row r="12" spans="1:18" ht="12.75" thickBot="1">
      <c r="A12" s="251"/>
      <c r="B12" s="227"/>
      <c r="C12" s="227"/>
      <c r="D12" s="227"/>
      <c r="E12" s="252"/>
      <c r="F12" s="227"/>
      <c r="G12" s="227"/>
      <c r="H12" s="227"/>
      <c r="I12" s="226"/>
      <c r="J12" s="260"/>
      <c r="K12" s="258"/>
      <c r="L12" s="2"/>
      <c r="M12" s="2"/>
      <c r="N12" s="266"/>
      <c r="O12" s="274"/>
      <c r="P12" s="274"/>
      <c r="Q12" s="274"/>
      <c r="R12" s="254"/>
    </row>
    <row r="13" spans="1:17" ht="12">
      <c r="A13" s="220">
        <v>0.4861111111111111</v>
      </c>
      <c r="B13" s="175" t="s">
        <v>211</v>
      </c>
      <c r="C13" s="175" t="s">
        <v>217</v>
      </c>
      <c r="D13" s="175" t="s">
        <v>1092</v>
      </c>
      <c r="E13" s="232" t="s">
        <v>1146</v>
      </c>
      <c r="F13" s="175" t="s">
        <v>1445</v>
      </c>
      <c r="G13" s="175" t="str">
        <f>E13&amp;" "&amp;F13</f>
        <v>Michel SCREVENS </v>
      </c>
      <c r="H13" s="175" t="str">
        <f>F13&amp;" "&amp;E13</f>
        <v>SCREVENS  Michel</v>
      </c>
      <c r="I13" s="233">
        <v>8.6</v>
      </c>
      <c r="J13" s="262">
        <v>260945</v>
      </c>
      <c r="K13" s="258"/>
      <c r="L13" s="2"/>
      <c r="M13" s="2"/>
      <c r="O13" s="273" t="s">
        <v>233</v>
      </c>
      <c r="P13" s="273">
        <v>13</v>
      </c>
      <c r="Q13" s="273">
        <v>172829</v>
      </c>
    </row>
    <row r="14" spans="1:17" ht="12">
      <c r="A14" s="221">
        <v>0.4861111111111111</v>
      </c>
      <c r="B14" s="2" t="s">
        <v>211</v>
      </c>
      <c r="C14" s="2" t="s">
        <v>217</v>
      </c>
      <c r="D14" s="2" t="s">
        <v>1093</v>
      </c>
      <c r="E14" s="196" t="s">
        <v>1407</v>
      </c>
      <c r="F14" s="2" t="s">
        <v>1420</v>
      </c>
      <c r="G14" s="2" t="str">
        <f>E14&amp;" "&amp;F14</f>
        <v>Ruth OREN </v>
      </c>
      <c r="H14" s="2" t="str">
        <f>F14&amp;" "&amp;E14</f>
        <v>OREN  Ruth</v>
      </c>
      <c r="I14" s="9">
        <v>11.7</v>
      </c>
      <c r="J14" s="261">
        <v>703109</v>
      </c>
      <c r="K14" s="258"/>
      <c r="L14" s="2"/>
      <c r="M14" s="2"/>
      <c r="O14" s="273" t="s">
        <v>234</v>
      </c>
      <c r="P14" s="273">
        <v>16.3</v>
      </c>
      <c r="Q14" s="273">
        <v>172945</v>
      </c>
    </row>
    <row r="15" spans="1:18" ht="12.75" thickBot="1">
      <c r="A15" s="251"/>
      <c r="B15" s="227"/>
      <c r="C15" s="227"/>
      <c r="D15" s="227"/>
      <c r="E15" s="252"/>
      <c r="F15" s="227"/>
      <c r="G15" s="227"/>
      <c r="H15" s="227"/>
      <c r="I15" s="226"/>
      <c r="J15" s="260"/>
      <c r="K15" s="258"/>
      <c r="L15" s="2"/>
      <c r="M15" s="2"/>
      <c r="N15" s="266"/>
      <c r="O15" s="274"/>
      <c r="P15" s="274"/>
      <c r="Q15" s="274"/>
      <c r="R15" s="254"/>
    </row>
    <row r="16" spans="1:17" ht="12">
      <c r="A16" s="220">
        <v>0.4930555555555556</v>
      </c>
      <c r="B16" s="175" t="s">
        <v>212</v>
      </c>
      <c r="C16" s="175" t="s">
        <v>217</v>
      </c>
      <c r="D16" s="175" t="s">
        <v>1092</v>
      </c>
      <c r="E16" s="232" t="s">
        <v>1302</v>
      </c>
      <c r="F16" s="175" t="s">
        <v>1318</v>
      </c>
      <c r="G16" s="175" t="str">
        <f>E16&amp;" "&amp;F16</f>
        <v>Jean-François GILLES</v>
      </c>
      <c r="H16" s="175" t="str">
        <f>F16&amp;" "&amp;E16</f>
        <v>GILLES Jean-François</v>
      </c>
      <c r="I16" s="233">
        <v>12.7</v>
      </c>
      <c r="J16" s="262">
        <v>101774</v>
      </c>
      <c r="K16" s="258"/>
      <c r="L16" s="2"/>
      <c r="M16" s="2"/>
      <c r="O16" s="273" t="s">
        <v>223</v>
      </c>
      <c r="P16" s="273">
        <v>16.9</v>
      </c>
      <c r="Q16" s="273">
        <v>172440</v>
      </c>
    </row>
    <row r="17" spans="1:17" ht="12">
      <c r="A17" s="221">
        <v>0.4930555555555556</v>
      </c>
      <c r="B17" s="2" t="s">
        <v>212</v>
      </c>
      <c r="C17" s="2" t="s">
        <v>217</v>
      </c>
      <c r="D17" s="2" t="s">
        <v>1093</v>
      </c>
      <c r="E17" s="196" t="s">
        <v>1337</v>
      </c>
      <c r="F17" s="2" t="s">
        <v>1357</v>
      </c>
      <c r="G17" s="2" t="str">
        <f>E17&amp;" "&amp;F17</f>
        <v>Sylviane JACOBS </v>
      </c>
      <c r="H17" s="2" t="str">
        <f>F17&amp;" "&amp;E17</f>
        <v>JACOBS  Sylviane</v>
      </c>
      <c r="I17" s="9">
        <v>13.6</v>
      </c>
      <c r="J17" s="261">
        <v>227307</v>
      </c>
      <c r="K17" s="258"/>
      <c r="L17" s="2"/>
      <c r="M17" s="2"/>
      <c r="O17" s="273" t="s">
        <v>224</v>
      </c>
      <c r="P17" s="273">
        <v>18.5</v>
      </c>
      <c r="Q17" s="273">
        <v>240886</v>
      </c>
    </row>
    <row r="18" spans="1:18" ht="12.75" thickBot="1">
      <c r="A18" s="251"/>
      <c r="B18" s="227"/>
      <c r="C18" s="227"/>
      <c r="D18" s="227"/>
      <c r="E18" s="252"/>
      <c r="F18" s="227"/>
      <c r="G18" s="227"/>
      <c r="H18" s="227"/>
      <c r="I18" s="226"/>
      <c r="J18" s="260"/>
      <c r="K18" s="258"/>
      <c r="L18" s="2"/>
      <c r="M18" s="2"/>
      <c r="N18" s="266"/>
      <c r="O18" s="274"/>
      <c r="P18" s="274"/>
      <c r="Q18" s="274"/>
      <c r="R18" s="254"/>
    </row>
    <row r="19" spans="1:17" ht="12">
      <c r="A19" s="220">
        <v>0.5</v>
      </c>
      <c r="B19" s="175" t="s">
        <v>213</v>
      </c>
      <c r="C19" s="175" t="s">
        <v>217</v>
      </c>
      <c r="D19" s="175" t="s">
        <v>1092</v>
      </c>
      <c r="E19" s="232" t="s">
        <v>1225</v>
      </c>
      <c r="F19" s="175" t="s">
        <v>1242</v>
      </c>
      <c r="G19" s="175" t="str">
        <f>E19&amp;" "&amp;F19</f>
        <v>Arnaud de GALARD de BEARN</v>
      </c>
      <c r="H19" s="175" t="str">
        <f>F19&amp;" "&amp;E19</f>
        <v>de GALARD de BEARN Arnaud</v>
      </c>
      <c r="I19" s="233">
        <v>13.5</v>
      </c>
      <c r="J19" s="262">
        <v>226965</v>
      </c>
      <c r="K19" s="258"/>
      <c r="L19" s="2"/>
      <c r="M19" s="2"/>
      <c r="O19" s="273" t="s">
        <v>221</v>
      </c>
      <c r="P19" s="273">
        <v>6.8</v>
      </c>
      <c r="Q19" s="273">
        <v>172916</v>
      </c>
    </row>
    <row r="20" spans="1:17" ht="12">
      <c r="A20" s="221">
        <v>0.5</v>
      </c>
      <c r="B20" s="2" t="s">
        <v>213</v>
      </c>
      <c r="C20" s="2" t="s">
        <v>217</v>
      </c>
      <c r="D20" s="2" t="s">
        <v>1093</v>
      </c>
      <c r="E20" s="196" t="s">
        <v>1215</v>
      </c>
      <c r="F20" s="2" t="s">
        <v>1214</v>
      </c>
      <c r="G20" s="2" t="str">
        <f>E20&amp;" "&amp;F20</f>
        <v>Régine DAUWE </v>
      </c>
      <c r="H20" s="2" t="str">
        <f>F20&amp;" "&amp;E20</f>
        <v>DAUWE  Régine</v>
      </c>
      <c r="I20" s="9">
        <v>9.7</v>
      </c>
      <c r="J20" s="261">
        <v>226931</v>
      </c>
      <c r="K20" s="259"/>
      <c r="L20" s="229"/>
      <c r="M20" s="229"/>
      <c r="O20" s="273" t="s">
        <v>222</v>
      </c>
      <c r="P20" s="273">
        <v>20</v>
      </c>
      <c r="Q20" s="273">
        <v>203777</v>
      </c>
    </row>
    <row r="21" spans="1:18" ht="12.75" thickBot="1">
      <c r="A21" s="251"/>
      <c r="B21" s="227"/>
      <c r="C21" s="227"/>
      <c r="D21" s="227"/>
      <c r="E21" s="252"/>
      <c r="F21" s="227"/>
      <c r="G21" s="227"/>
      <c r="H21" s="227"/>
      <c r="I21" s="226"/>
      <c r="J21" s="260"/>
      <c r="K21" s="218"/>
      <c r="L21" s="29"/>
      <c r="M21" s="29"/>
      <c r="N21" s="254"/>
      <c r="O21" s="274"/>
      <c r="P21" s="274"/>
      <c r="Q21" s="274"/>
      <c r="R21" s="254"/>
    </row>
    <row r="22" spans="1:17" ht="12">
      <c r="A22" s="220">
        <v>0.5069444444444444</v>
      </c>
      <c r="B22" s="175" t="s">
        <v>214</v>
      </c>
      <c r="C22" s="175" t="s">
        <v>217</v>
      </c>
      <c r="D22" s="175" t="s">
        <v>1093</v>
      </c>
      <c r="E22" s="232" t="s">
        <v>1252</v>
      </c>
      <c r="F22" s="175" t="s">
        <v>1451</v>
      </c>
      <c r="G22" s="175" t="str">
        <f>E22&amp;" "&amp;F22</f>
        <v>Etienne SOETENS</v>
      </c>
      <c r="H22" s="175" t="s">
        <v>218</v>
      </c>
      <c r="I22" s="233">
        <v>14.2</v>
      </c>
      <c r="J22" s="262">
        <v>205825</v>
      </c>
      <c r="K22" s="218"/>
      <c r="L22" s="29"/>
      <c r="M22" s="29"/>
      <c r="O22" s="273" t="s">
        <v>219</v>
      </c>
      <c r="P22" s="273">
        <v>20.2</v>
      </c>
      <c r="Q22" s="273">
        <v>172861</v>
      </c>
    </row>
    <row r="23" spans="1:17" ht="12">
      <c r="A23" s="221">
        <v>0.5069444444444444</v>
      </c>
      <c r="B23" s="2" t="s">
        <v>214</v>
      </c>
      <c r="C23" s="2" t="s">
        <v>217</v>
      </c>
      <c r="D23" s="2" t="s">
        <v>1092</v>
      </c>
      <c r="E23" s="196" t="s">
        <v>1277</v>
      </c>
      <c r="F23" s="2" t="s">
        <v>1385</v>
      </c>
      <c r="G23" s="2" t="str">
        <f>E23&amp;" "&amp;F23</f>
        <v>Kenneth LOUVEAUX </v>
      </c>
      <c r="H23" s="2" t="str">
        <f>F23&amp;" "&amp;E23</f>
        <v>LOUVEAUX  Kenneth</v>
      </c>
      <c r="I23" s="9">
        <v>20</v>
      </c>
      <c r="J23" s="261">
        <v>212902</v>
      </c>
      <c r="K23" s="218"/>
      <c r="L23" s="29"/>
      <c r="M23" s="29"/>
      <c r="O23" s="273" t="s">
        <v>220</v>
      </c>
      <c r="P23" s="273">
        <v>15.8</v>
      </c>
      <c r="Q23" s="273">
        <v>172365</v>
      </c>
    </row>
    <row r="24" spans="1:18" ht="12.75" thickBot="1">
      <c r="A24" s="251"/>
      <c r="B24" s="227"/>
      <c r="C24" s="227"/>
      <c r="D24" s="227"/>
      <c r="E24" s="252"/>
      <c r="F24" s="227"/>
      <c r="G24" s="227"/>
      <c r="H24" s="227"/>
      <c r="I24" s="226"/>
      <c r="J24" s="260"/>
      <c r="K24" s="218"/>
      <c r="L24" s="29"/>
      <c r="M24" s="29"/>
      <c r="N24" s="254"/>
      <c r="O24" s="274"/>
      <c r="P24" s="274"/>
      <c r="Q24" s="274"/>
      <c r="R24" s="254"/>
    </row>
    <row r="25" spans="1:17" ht="12">
      <c r="A25" s="220">
        <v>0.513888888888889</v>
      </c>
      <c r="B25" s="175" t="s">
        <v>215</v>
      </c>
      <c r="C25" s="175" t="s">
        <v>217</v>
      </c>
      <c r="D25" s="175"/>
      <c r="E25" s="232" t="s">
        <v>1169</v>
      </c>
      <c r="F25" s="175" t="s">
        <v>1318</v>
      </c>
      <c r="G25" s="175" t="str">
        <f>E25&amp;" "&amp;F25</f>
        <v>Martine GILLES</v>
      </c>
      <c r="H25" s="175"/>
      <c r="I25" s="233"/>
      <c r="J25" s="262"/>
      <c r="K25" s="218"/>
      <c r="L25" s="29"/>
      <c r="M25" s="29"/>
      <c r="N25" s="29"/>
      <c r="O25" s="273" t="s">
        <v>237</v>
      </c>
      <c r="P25" s="273">
        <v>19.9</v>
      </c>
      <c r="Q25" s="273">
        <v>172682</v>
      </c>
    </row>
    <row r="26" spans="1:17" ht="12">
      <c r="A26" s="221">
        <v>0.513888888888889</v>
      </c>
      <c r="B26" s="2" t="s">
        <v>215</v>
      </c>
      <c r="C26" s="2" t="s">
        <v>217</v>
      </c>
      <c r="D26" s="2" t="s">
        <v>1093</v>
      </c>
      <c r="E26" s="196" t="s">
        <v>1409</v>
      </c>
      <c r="F26" s="2" t="s">
        <v>1422</v>
      </c>
      <c r="G26" s="2" t="str">
        <f>E26&amp;" "&amp;F26</f>
        <v>Sonia PARRA</v>
      </c>
      <c r="H26" s="2" t="str">
        <f>F26&amp;" "&amp;E26</f>
        <v>PARRA Sonia</v>
      </c>
      <c r="I26" s="9">
        <v>7.7</v>
      </c>
      <c r="J26" s="261">
        <v>227610</v>
      </c>
      <c r="K26" s="218"/>
      <c r="L26" s="29"/>
      <c r="M26" s="29"/>
      <c r="N26" s="29"/>
      <c r="O26" s="273" t="s">
        <v>238</v>
      </c>
      <c r="P26" s="273">
        <v>14.9</v>
      </c>
      <c r="Q26" s="273">
        <v>173238</v>
      </c>
    </row>
    <row r="27" spans="1:18" ht="12.75" thickBot="1">
      <c r="A27" s="251"/>
      <c r="B27" s="227"/>
      <c r="C27" s="227"/>
      <c r="D27" s="227"/>
      <c r="E27" s="252"/>
      <c r="F27" s="227"/>
      <c r="G27" s="227"/>
      <c r="H27" s="227"/>
      <c r="I27" s="226"/>
      <c r="J27" s="260"/>
      <c r="K27" s="218"/>
      <c r="L27" s="29"/>
      <c r="M27" s="29"/>
      <c r="N27" s="254"/>
      <c r="O27" s="274"/>
      <c r="P27" s="274"/>
      <c r="Q27" s="274"/>
      <c r="R27" s="254"/>
    </row>
    <row r="28" spans="1:17" ht="12">
      <c r="A28" s="220">
        <v>0.5208333333333334</v>
      </c>
      <c r="B28" s="175" t="s">
        <v>216</v>
      </c>
      <c r="C28" s="175" t="s">
        <v>217</v>
      </c>
      <c r="D28" s="175" t="s">
        <v>1093</v>
      </c>
      <c r="E28" s="232" t="s">
        <v>1231</v>
      </c>
      <c r="F28" s="175" t="s">
        <v>1753</v>
      </c>
      <c r="G28" s="175" t="str">
        <f>E28&amp;" "&amp;F28</f>
        <v>Anne-Chantal de SCHRYNMAKERS</v>
      </c>
      <c r="H28" s="175" t="str">
        <f>F28&amp;" "&amp;E28</f>
        <v>de SCHRYNMAKERS Anne-Chantal</v>
      </c>
      <c r="I28" s="233">
        <v>16.5</v>
      </c>
      <c r="J28" s="262">
        <v>707935</v>
      </c>
      <c r="K28" s="218"/>
      <c r="L28" s="29"/>
      <c r="M28" s="29"/>
      <c r="N28" s="29"/>
      <c r="O28" s="273" t="s">
        <v>235</v>
      </c>
      <c r="P28" s="273">
        <v>20.2</v>
      </c>
      <c r="Q28" s="273">
        <v>294432</v>
      </c>
    </row>
    <row r="29" spans="1:17" ht="12">
      <c r="A29" s="228">
        <v>0.5208333333333334</v>
      </c>
      <c r="B29" s="229" t="s">
        <v>216</v>
      </c>
      <c r="C29" s="229" t="s">
        <v>217</v>
      </c>
      <c r="D29" s="229" t="s">
        <v>1093</v>
      </c>
      <c r="E29" s="230" t="s">
        <v>1967</v>
      </c>
      <c r="F29" s="229" t="s">
        <v>1450</v>
      </c>
      <c r="G29" s="229" t="str">
        <f>E29&amp;" "&amp;F29</f>
        <v>Francois SMEYERS </v>
      </c>
      <c r="H29" s="229" t="str">
        <f>F29&amp;" "&amp;E29</f>
        <v>SMEYERS  Francois</v>
      </c>
      <c r="I29" s="231">
        <v>20.2</v>
      </c>
      <c r="J29" s="263">
        <v>224081</v>
      </c>
      <c r="K29" s="218"/>
      <c r="L29" s="29"/>
      <c r="M29" s="29"/>
      <c r="N29" s="29"/>
      <c r="O29" s="273" t="s">
        <v>236</v>
      </c>
      <c r="P29" s="273">
        <v>21</v>
      </c>
      <c r="Q29" s="273">
        <v>172807</v>
      </c>
    </row>
    <row r="30" spans="1:18" ht="12.75" thickBot="1">
      <c r="A30" s="253"/>
      <c r="B30" s="254"/>
      <c r="C30" s="254"/>
      <c r="D30" s="254"/>
      <c r="E30" s="255"/>
      <c r="F30" s="254"/>
      <c r="G30" s="254"/>
      <c r="H30" s="254"/>
      <c r="I30" s="256"/>
      <c r="J30" s="264"/>
      <c r="K30" s="269"/>
      <c r="L30" s="254"/>
      <c r="M30" s="254"/>
      <c r="N30" s="254"/>
      <c r="O30" s="274"/>
      <c r="P30" s="274"/>
      <c r="Q30" s="274"/>
      <c r="R30" s="276"/>
    </row>
    <row r="31" spans="1:19" ht="12">
      <c r="A31" s="234"/>
      <c r="B31" s="29"/>
      <c r="C31" s="29"/>
      <c r="D31" s="29"/>
      <c r="E31" s="198"/>
      <c r="F31" s="29"/>
      <c r="G31" s="29"/>
      <c r="H31" s="29"/>
      <c r="I31" s="235"/>
      <c r="J31" s="236"/>
      <c r="K31" s="218"/>
      <c r="L31" s="29"/>
      <c r="M31" s="29"/>
      <c r="N31" s="29"/>
      <c r="O31" s="29"/>
      <c r="P31" s="29"/>
      <c r="Q31" s="29"/>
      <c r="R31" s="29"/>
      <c r="S31" s="29"/>
    </row>
    <row r="32" spans="1:19" ht="12">
      <c r="A32" s="234"/>
      <c r="B32" s="29"/>
      <c r="C32" s="29"/>
      <c r="D32" s="29"/>
      <c r="E32" s="198"/>
      <c r="F32" s="29"/>
      <c r="G32" s="29"/>
      <c r="H32" s="29"/>
      <c r="I32" s="235"/>
      <c r="J32" s="236"/>
      <c r="K32" s="218"/>
      <c r="L32" s="29"/>
      <c r="M32" s="29"/>
      <c r="N32" s="29"/>
      <c r="O32" s="29"/>
      <c r="P32" s="29"/>
      <c r="Q32" s="29"/>
      <c r="R32" s="29"/>
      <c r="S32" s="29"/>
    </row>
    <row r="33" spans="1:19" ht="12">
      <c r="A33" s="234"/>
      <c r="B33" s="29"/>
      <c r="C33" s="29"/>
      <c r="D33" s="29"/>
      <c r="E33" s="198"/>
      <c r="F33" s="29"/>
      <c r="G33" s="29"/>
      <c r="H33" s="29"/>
      <c r="I33" s="235"/>
      <c r="J33" s="236"/>
      <c r="K33" s="218"/>
      <c r="L33" s="29"/>
      <c r="M33" s="29"/>
      <c r="N33" s="29"/>
      <c r="O33" s="29"/>
      <c r="P33" s="29"/>
      <c r="Q33" s="29"/>
      <c r="R33" s="29"/>
      <c r="S33" s="29"/>
    </row>
    <row r="34" spans="1:19" ht="12">
      <c r="A34" s="234"/>
      <c r="B34" s="29"/>
      <c r="C34" s="29"/>
      <c r="D34" s="29"/>
      <c r="E34" s="198"/>
      <c r="F34" s="29"/>
      <c r="G34" s="29"/>
      <c r="H34" s="29"/>
      <c r="I34" s="235"/>
      <c r="J34" s="236"/>
      <c r="K34" s="218"/>
      <c r="L34" s="29"/>
      <c r="M34" s="29"/>
      <c r="N34" s="29"/>
      <c r="O34" s="29"/>
      <c r="P34" s="29"/>
      <c r="Q34" s="29"/>
      <c r="R34" s="29"/>
      <c r="S34" s="29"/>
    </row>
    <row r="35" spans="1:19" ht="12">
      <c r="A35" s="234"/>
      <c r="B35" s="29"/>
      <c r="C35" s="29"/>
      <c r="D35" s="29"/>
      <c r="E35" s="198"/>
      <c r="F35" s="29"/>
      <c r="G35" s="29"/>
      <c r="H35" s="29"/>
      <c r="I35" s="235"/>
      <c r="J35" s="236"/>
      <c r="K35" s="218"/>
      <c r="L35" s="29"/>
      <c r="M35" s="29"/>
      <c r="N35" s="29"/>
      <c r="O35" s="29"/>
      <c r="P35" s="29"/>
      <c r="Q35" s="29"/>
      <c r="R35" s="29"/>
      <c r="S35" s="29"/>
    </row>
    <row r="36" spans="1:19" ht="12">
      <c r="A36" s="234"/>
      <c r="B36" s="29"/>
      <c r="C36" s="29"/>
      <c r="D36" s="29"/>
      <c r="E36" s="198"/>
      <c r="F36" s="29"/>
      <c r="G36" s="29"/>
      <c r="H36" s="29"/>
      <c r="I36" s="235"/>
      <c r="J36" s="236"/>
      <c r="K36" s="218"/>
      <c r="L36" s="29"/>
      <c r="M36" s="29"/>
      <c r="N36" s="29"/>
      <c r="O36" s="29"/>
      <c r="P36" s="29"/>
      <c r="Q36" s="29"/>
      <c r="R36" s="29"/>
      <c r="S36" s="29"/>
    </row>
    <row r="37" spans="1:19" ht="12">
      <c r="A37" s="234"/>
      <c r="B37" s="29"/>
      <c r="C37" s="29"/>
      <c r="D37" s="29"/>
      <c r="E37" s="198"/>
      <c r="F37" s="29"/>
      <c r="G37" s="29"/>
      <c r="H37" s="29"/>
      <c r="I37" s="235"/>
      <c r="J37" s="236"/>
      <c r="K37" s="218"/>
      <c r="L37" s="29"/>
      <c r="M37" s="29"/>
      <c r="N37" s="29"/>
      <c r="O37" s="29"/>
      <c r="P37" s="29"/>
      <c r="Q37" s="29"/>
      <c r="R37" s="29"/>
      <c r="S37" s="29"/>
    </row>
    <row r="38" spans="1:19" ht="12">
      <c r="A38" s="234"/>
      <c r="B38" s="29"/>
      <c r="C38" s="29"/>
      <c r="D38" s="29"/>
      <c r="E38" s="198"/>
      <c r="F38" s="29"/>
      <c r="G38" s="29"/>
      <c r="H38" s="29"/>
      <c r="I38" s="235"/>
      <c r="J38" s="236"/>
      <c r="K38" s="218"/>
      <c r="L38" s="29"/>
      <c r="M38" s="29"/>
      <c r="N38" s="29"/>
      <c r="O38" s="29"/>
      <c r="P38" s="29"/>
      <c r="Q38" s="29"/>
      <c r="R38" s="29"/>
      <c r="S38" s="29"/>
    </row>
    <row r="39" spans="1:19" ht="12">
      <c r="A39" s="234"/>
      <c r="B39" s="29"/>
      <c r="C39" s="29"/>
      <c r="D39" s="29"/>
      <c r="E39" s="198"/>
      <c r="F39" s="29"/>
      <c r="G39" s="29"/>
      <c r="H39" s="29"/>
      <c r="I39" s="235"/>
      <c r="J39" s="236"/>
      <c r="K39" s="218"/>
      <c r="L39" s="29"/>
      <c r="M39" s="29"/>
      <c r="N39" s="29"/>
      <c r="O39" s="29"/>
      <c r="P39" s="29"/>
      <c r="Q39" s="29"/>
      <c r="R39" s="29"/>
      <c r="S39" s="29"/>
    </row>
    <row r="40" spans="1:19" ht="12">
      <c r="A40" s="234"/>
      <c r="B40" s="29"/>
      <c r="C40" s="29"/>
      <c r="D40" s="29"/>
      <c r="E40" s="198"/>
      <c r="F40" s="29"/>
      <c r="G40" s="29"/>
      <c r="H40" s="29"/>
      <c r="I40" s="235"/>
      <c r="J40" s="236"/>
      <c r="K40" s="218"/>
      <c r="L40" s="29"/>
      <c r="M40" s="29"/>
      <c r="N40" s="29"/>
      <c r="O40" s="29"/>
      <c r="P40" s="29"/>
      <c r="Q40" s="29"/>
      <c r="R40" s="29"/>
      <c r="S40" s="29"/>
    </row>
    <row r="41" spans="1:19" ht="12">
      <c r="A41" s="234"/>
      <c r="B41" s="29"/>
      <c r="C41" s="29"/>
      <c r="D41" s="29"/>
      <c r="E41" s="198"/>
      <c r="F41" s="29"/>
      <c r="G41" s="29"/>
      <c r="H41" s="29"/>
      <c r="I41" s="235"/>
      <c r="J41" s="236"/>
      <c r="K41" s="218"/>
      <c r="L41" s="29"/>
      <c r="M41" s="29"/>
      <c r="N41" s="29"/>
      <c r="O41" s="29"/>
      <c r="P41" s="29"/>
      <c r="Q41" s="29"/>
      <c r="R41" s="29"/>
      <c r="S41" s="29"/>
    </row>
    <row r="42" spans="1:19" ht="12">
      <c r="A42" s="234"/>
      <c r="B42" s="29"/>
      <c r="C42" s="29"/>
      <c r="D42" s="29"/>
      <c r="E42" s="198"/>
      <c r="F42" s="29"/>
      <c r="G42" s="29"/>
      <c r="H42" s="29"/>
      <c r="I42" s="235"/>
      <c r="J42" s="236"/>
      <c r="K42" s="218"/>
      <c r="L42" s="29"/>
      <c r="M42" s="29"/>
      <c r="N42" s="29"/>
      <c r="O42" s="29"/>
      <c r="P42" s="29"/>
      <c r="Q42" s="29"/>
      <c r="R42" s="29"/>
      <c r="S42" s="29"/>
    </row>
    <row r="43" spans="1:19" ht="12">
      <c r="A43" s="234"/>
      <c r="B43" s="29"/>
      <c r="C43" s="29"/>
      <c r="D43" s="29"/>
      <c r="E43" s="198"/>
      <c r="F43" s="29"/>
      <c r="G43" s="29"/>
      <c r="H43" s="29"/>
      <c r="I43" s="235"/>
      <c r="J43" s="236"/>
      <c r="K43" s="218"/>
      <c r="L43" s="29"/>
      <c r="M43" s="29"/>
      <c r="N43" s="29"/>
      <c r="O43" s="29"/>
      <c r="P43" s="29"/>
      <c r="Q43" s="29"/>
      <c r="R43" s="29"/>
      <c r="S43" s="29"/>
    </row>
    <row r="44" spans="1:19" ht="12">
      <c r="A44" s="234"/>
      <c r="B44" s="29"/>
      <c r="C44" s="29"/>
      <c r="D44" s="29"/>
      <c r="E44" s="198"/>
      <c r="F44" s="29"/>
      <c r="G44" s="29"/>
      <c r="H44" s="29"/>
      <c r="I44" s="235"/>
      <c r="J44" s="236"/>
      <c r="K44" s="218"/>
      <c r="L44" s="29"/>
      <c r="M44" s="29"/>
      <c r="N44" s="29"/>
      <c r="O44" s="29"/>
      <c r="P44" s="29"/>
      <c r="Q44" s="29"/>
      <c r="R44" s="29"/>
      <c r="S44" s="29"/>
    </row>
    <row r="45" spans="1:19" ht="12">
      <c r="A45" s="234"/>
      <c r="B45" s="29"/>
      <c r="C45" s="29"/>
      <c r="D45" s="29"/>
      <c r="E45" s="198"/>
      <c r="F45" s="29"/>
      <c r="G45" s="29"/>
      <c r="H45" s="29"/>
      <c r="I45" s="235"/>
      <c r="J45" s="236"/>
      <c r="K45" s="218"/>
      <c r="L45" s="29"/>
      <c r="M45" s="29"/>
      <c r="N45" s="29"/>
      <c r="O45" s="29"/>
      <c r="P45" s="29"/>
      <c r="Q45" s="29"/>
      <c r="R45" s="29"/>
      <c r="S45" s="29"/>
    </row>
    <row r="46" spans="1:19" ht="12">
      <c r="A46" s="234"/>
      <c r="B46" s="29"/>
      <c r="C46" s="29"/>
      <c r="D46" s="29"/>
      <c r="E46" s="198"/>
      <c r="F46" s="29"/>
      <c r="G46" s="29"/>
      <c r="H46" s="29"/>
      <c r="I46" s="235"/>
      <c r="J46" s="236"/>
      <c r="K46" s="218"/>
      <c r="L46" s="29"/>
      <c r="M46" s="29"/>
      <c r="N46" s="29"/>
      <c r="O46" s="29"/>
      <c r="P46" s="29"/>
      <c r="Q46" s="29"/>
      <c r="R46" s="29"/>
      <c r="S46" s="29"/>
    </row>
    <row r="47" spans="1:19" ht="12">
      <c r="A47" s="234"/>
      <c r="B47" s="29"/>
      <c r="C47" s="29"/>
      <c r="D47" s="29"/>
      <c r="E47" s="198"/>
      <c r="F47" s="29"/>
      <c r="G47" s="29"/>
      <c r="H47" s="29"/>
      <c r="I47" s="235"/>
      <c r="J47" s="236"/>
      <c r="K47" s="218"/>
      <c r="L47" s="29"/>
      <c r="M47" s="29"/>
      <c r="N47" s="29"/>
      <c r="O47" s="29"/>
      <c r="P47" s="29"/>
      <c r="Q47" s="29"/>
      <c r="R47" s="29"/>
      <c r="S47" s="29"/>
    </row>
    <row r="48" spans="1:19" ht="12">
      <c r="A48" s="234"/>
      <c r="B48" s="29"/>
      <c r="C48" s="29"/>
      <c r="D48" s="29"/>
      <c r="E48" s="198"/>
      <c r="F48" s="29"/>
      <c r="G48" s="29"/>
      <c r="H48" s="29"/>
      <c r="I48" s="235"/>
      <c r="J48" s="236"/>
      <c r="K48" s="218"/>
      <c r="L48" s="29"/>
      <c r="M48" s="29"/>
      <c r="N48" s="29"/>
      <c r="O48" s="29"/>
      <c r="P48" s="29"/>
      <c r="Q48" s="29"/>
      <c r="R48" s="29"/>
      <c r="S48" s="29"/>
    </row>
    <row r="49" spans="1:19" ht="12">
      <c r="A49" s="234"/>
      <c r="B49" s="29"/>
      <c r="C49" s="29"/>
      <c r="D49" s="29"/>
      <c r="E49" s="198"/>
      <c r="F49" s="29"/>
      <c r="G49" s="29"/>
      <c r="H49" s="29"/>
      <c r="I49" s="235"/>
      <c r="J49" s="236"/>
      <c r="K49" s="218"/>
      <c r="L49" s="237"/>
      <c r="M49" s="237"/>
      <c r="N49" s="29"/>
      <c r="O49" s="29"/>
      <c r="P49" s="29"/>
      <c r="Q49" s="29"/>
      <c r="R49" s="29"/>
      <c r="S49" s="29"/>
    </row>
    <row r="50" spans="1:19" ht="12">
      <c r="A50" s="234"/>
      <c r="B50" s="29"/>
      <c r="C50" s="29"/>
      <c r="D50" s="29"/>
      <c r="E50" s="198"/>
      <c r="F50" s="29"/>
      <c r="G50" s="29"/>
      <c r="H50" s="29"/>
      <c r="I50" s="235"/>
      <c r="J50" s="236"/>
      <c r="K50" s="218"/>
      <c r="L50" s="29"/>
      <c r="M50" s="29"/>
      <c r="N50" s="29"/>
      <c r="O50" s="29"/>
      <c r="P50" s="29"/>
      <c r="Q50" s="29"/>
      <c r="R50" s="29"/>
      <c r="S50" s="29"/>
    </row>
    <row r="51" spans="1:19" ht="12">
      <c r="A51" s="234"/>
      <c r="B51" s="29"/>
      <c r="C51" s="29"/>
      <c r="D51" s="29"/>
      <c r="E51" s="198"/>
      <c r="F51" s="29"/>
      <c r="G51" s="29"/>
      <c r="H51" s="29"/>
      <c r="I51" s="235"/>
      <c r="J51" s="236"/>
      <c r="K51" s="218"/>
      <c r="L51" s="29"/>
      <c r="M51" s="29"/>
      <c r="N51" s="29"/>
      <c r="O51" s="29"/>
      <c r="P51" s="29"/>
      <c r="Q51" s="29"/>
      <c r="R51" s="29"/>
      <c r="S51" s="29"/>
    </row>
    <row r="52" spans="1:19" ht="12">
      <c r="A52" s="234"/>
      <c r="B52" s="29"/>
      <c r="C52" s="29"/>
      <c r="D52" s="29"/>
      <c r="E52" s="198"/>
      <c r="F52" s="29"/>
      <c r="G52" s="29"/>
      <c r="H52" s="29"/>
      <c r="I52" s="235"/>
      <c r="J52" s="236"/>
      <c r="K52" s="218"/>
      <c r="L52" s="29"/>
      <c r="M52" s="29"/>
      <c r="N52" s="29"/>
      <c r="O52" s="29"/>
      <c r="P52" s="29"/>
      <c r="Q52" s="29"/>
      <c r="R52" s="29"/>
      <c r="S52" s="29"/>
    </row>
    <row r="53" spans="1:19" ht="12">
      <c r="A53" s="234"/>
      <c r="B53" s="29"/>
      <c r="C53" s="29"/>
      <c r="D53" s="29"/>
      <c r="E53" s="198"/>
      <c r="F53" s="29"/>
      <c r="G53" s="29"/>
      <c r="H53" s="29"/>
      <c r="I53" s="235"/>
      <c r="J53" s="236"/>
      <c r="K53" s="218"/>
      <c r="L53" s="29"/>
      <c r="M53" s="29"/>
      <c r="N53" s="29"/>
      <c r="O53" s="29"/>
      <c r="P53" s="29"/>
      <c r="Q53" s="29"/>
      <c r="R53" s="29"/>
      <c r="S53" s="29"/>
    </row>
    <row r="54" spans="1:19" ht="12">
      <c r="A54" s="234"/>
      <c r="B54" s="29"/>
      <c r="C54" s="29"/>
      <c r="D54" s="29"/>
      <c r="E54" s="198"/>
      <c r="F54" s="29"/>
      <c r="G54" s="29"/>
      <c r="H54" s="29"/>
      <c r="I54" s="235"/>
      <c r="J54" s="236"/>
      <c r="K54" s="218"/>
      <c r="L54" s="29"/>
      <c r="M54" s="29"/>
      <c r="N54" s="29"/>
      <c r="O54" s="29"/>
      <c r="P54" s="29"/>
      <c r="Q54" s="29"/>
      <c r="R54" s="29"/>
      <c r="S54" s="29"/>
    </row>
    <row r="55" spans="1:19" ht="12">
      <c r="A55" s="234"/>
      <c r="B55" s="29"/>
      <c r="C55" s="29"/>
      <c r="D55" s="29"/>
      <c r="E55" s="198"/>
      <c r="F55" s="29"/>
      <c r="G55" s="29"/>
      <c r="H55" s="29"/>
      <c r="I55" s="235"/>
      <c r="J55" s="236"/>
      <c r="K55" s="218"/>
      <c r="L55" s="29"/>
      <c r="M55" s="29"/>
      <c r="N55" s="29"/>
      <c r="O55" s="29"/>
      <c r="P55" s="29"/>
      <c r="Q55" s="29"/>
      <c r="R55" s="29"/>
      <c r="S55" s="29"/>
    </row>
    <row r="56" spans="1:19" ht="12">
      <c r="A56" s="234"/>
      <c r="B56" s="29"/>
      <c r="C56" s="29"/>
      <c r="D56" s="29"/>
      <c r="E56" s="198"/>
      <c r="F56" s="29"/>
      <c r="G56" s="29"/>
      <c r="H56" s="29"/>
      <c r="I56" s="235"/>
      <c r="J56" s="236"/>
      <c r="K56" s="218"/>
      <c r="L56" s="29"/>
      <c r="M56" s="29"/>
      <c r="N56" s="29"/>
      <c r="O56" s="29"/>
      <c r="P56" s="29"/>
      <c r="Q56" s="29"/>
      <c r="R56" s="29"/>
      <c r="S56" s="29"/>
    </row>
    <row r="57" spans="1:19" ht="12">
      <c r="A57" s="234"/>
      <c r="B57" s="29"/>
      <c r="C57" s="29"/>
      <c r="D57" s="29"/>
      <c r="E57" s="198"/>
      <c r="F57" s="29"/>
      <c r="G57" s="29"/>
      <c r="H57" s="29"/>
      <c r="I57" s="235"/>
      <c r="J57" s="236"/>
      <c r="K57" s="218"/>
      <c r="L57" s="29"/>
      <c r="M57" s="29"/>
      <c r="N57" s="29"/>
      <c r="O57" s="29"/>
      <c r="P57" s="29"/>
      <c r="Q57" s="29"/>
      <c r="R57" s="29"/>
      <c r="S57" s="29"/>
    </row>
    <row r="58" spans="1:19" ht="12">
      <c r="A58" s="234"/>
      <c r="B58" s="29"/>
      <c r="C58" s="29"/>
      <c r="D58" s="237"/>
      <c r="E58" s="238"/>
      <c r="F58" s="237"/>
      <c r="G58" s="237"/>
      <c r="H58" s="237"/>
      <c r="I58" s="239"/>
      <c r="J58" s="240"/>
      <c r="K58" s="218"/>
      <c r="L58" s="29"/>
      <c r="M58" s="29"/>
      <c r="N58" s="29"/>
      <c r="O58" s="29"/>
      <c r="P58" s="29"/>
      <c r="Q58" s="29"/>
      <c r="R58" s="29"/>
      <c r="S58" s="29"/>
    </row>
    <row r="59" spans="1:19" ht="12">
      <c r="A59" s="234"/>
      <c r="B59" s="29"/>
      <c r="C59" s="29"/>
      <c r="D59" s="29"/>
      <c r="E59" s="198"/>
      <c r="F59" s="29"/>
      <c r="G59" s="29"/>
      <c r="H59" s="29"/>
      <c r="I59" s="235"/>
      <c r="J59" s="236"/>
      <c r="K59" s="218"/>
      <c r="L59" s="29"/>
      <c r="M59" s="29"/>
      <c r="N59" s="29"/>
      <c r="O59" s="29"/>
      <c r="P59" s="29"/>
      <c r="Q59" s="29"/>
      <c r="R59" s="29"/>
      <c r="S59" s="29"/>
    </row>
    <row r="60" spans="1:19" ht="12">
      <c r="A60" s="234"/>
      <c r="B60" s="29"/>
      <c r="C60" s="29"/>
      <c r="D60" s="29"/>
      <c r="E60" s="198"/>
      <c r="F60" s="29"/>
      <c r="G60" s="29"/>
      <c r="H60" s="29"/>
      <c r="I60" s="235"/>
      <c r="J60" s="236"/>
      <c r="K60" s="218"/>
      <c r="L60" s="29"/>
      <c r="M60" s="29"/>
      <c r="N60" s="29"/>
      <c r="O60" s="29"/>
      <c r="P60" s="29"/>
      <c r="Q60" s="29"/>
      <c r="R60" s="29"/>
      <c r="S60" s="29"/>
    </row>
    <row r="61" spans="1:19" ht="12">
      <c r="A61" s="234"/>
      <c r="B61" s="29"/>
      <c r="C61" s="29"/>
      <c r="D61" s="29"/>
      <c r="E61" s="198"/>
      <c r="F61" s="29"/>
      <c r="G61" s="29"/>
      <c r="H61" s="29"/>
      <c r="I61" s="235"/>
      <c r="J61" s="236"/>
      <c r="K61" s="218"/>
      <c r="L61" s="29"/>
      <c r="M61" s="29"/>
      <c r="N61" s="29"/>
      <c r="O61" s="29"/>
      <c r="P61" s="29"/>
      <c r="Q61" s="29"/>
      <c r="R61" s="29"/>
      <c r="S61" s="29"/>
    </row>
    <row r="62" spans="1:19" ht="12">
      <c r="A62" s="234"/>
      <c r="B62" s="29"/>
      <c r="C62" s="29"/>
      <c r="D62" s="29"/>
      <c r="E62" s="198"/>
      <c r="F62" s="29"/>
      <c r="G62" s="29"/>
      <c r="H62" s="29"/>
      <c r="I62" s="235"/>
      <c r="J62" s="236"/>
      <c r="K62" s="218"/>
      <c r="L62" s="29"/>
      <c r="M62" s="29"/>
      <c r="N62" s="29"/>
      <c r="O62" s="29"/>
      <c r="P62" s="29"/>
      <c r="Q62" s="29"/>
      <c r="R62" s="29"/>
      <c r="S62" s="29"/>
    </row>
    <row r="63" spans="1:19" ht="12">
      <c r="A63" s="234"/>
      <c r="B63" s="29"/>
      <c r="C63" s="29"/>
      <c r="D63" s="29"/>
      <c r="E63" s="198"/>
      <c r="F63" s="29"/>
      <c r="G63" s="29"/>
      <c r="H63" s="29"/>
      <c r="I63" s="235"/>
      <c r="J63" s="236"/>
      <c r="K63" s="218"/>
      <c r="L63" s="29"/>
      <c r="M63" s="29"/>
      <c r="N63" s="29"/>
      <c r="O63" s="29"/>
      <c r="P63" s="29"/>
      <c r="Q63" s="29"/>
      <c r="R63" s="29"/>
      <c r="S63" s="29"/>
    </row>
    <row r="64" spans="1:19" ht="12">
      <c r="A64" s="234"/>
      <c r="B64" s="29"/>
      <c r="C64" s="29"/>
      <c r="D64" s="29"/>
      <c r="E64" s="198"/>
      <c r="F64" s="29"/>
      <c r="G64" s="29"/>
      <c r="H64" s="29"/>
      <c r="I64" s="235"/>
      <c r="J64" s="236"/>
      <c r="K64" s="218"/>
      <c r="L64" s="29"/>
      <c r="M64" s="29"/>
      <c r="N64" s="29"/>
      <c r="O64" s="29"/>
      <c r="P64" s="29"/>
      <c r="Q64" s="29"/>
      <c r="R64" s="29"/>
      <c r="S64" s="29"/>
    </row>
    <row r="65" spans="1:19" ht="12">
      <c r="A65" s="234"/>
      <c r="B65" s="29"/>
      <c r="C65" s="29"/>
      <c r="D65" s="29"/>
      <c r="E65" s="198"/>
      <c r="F65" s="29"/>
      <c r="G65" s="29"/>
      <c r="H65" s="29"/>
      <c r="I65" s="235"/>
      <c r="J65" s="236"/>
      <c r="K65" s="218"/>
      <c r="L65" s="29"/>
      <c r="M65" s="29"/>
      <c r="N65" s="29"/>
      <c r="O65" s="29"/>
      <c r="P65" s="29"/>
      <c r="Q65" s="29"/>
      <c r="R65" s="29"/>
      <c r="S65" s="29"/>
    </row>
    <row r="66" spans="1:19" ht="12">
      <c r="A66" s="234"/>
      <c r="B66" s="29"/>
      <c r="C66" s="29"/>
      <c r="D66" s="29"/>
      <c r="E66" s="198"/>
      <c r="F66" s="29"/>
      <c r="G66" s="29"/>
      <c r="H66" s="29"/>
      <c r="I66" s="235"/>
      <c r="J66" s="236"/>
      <c r="K66" s="218"/>
      <c r="L66" s="29"/>
      <c r="M66" s="29"/>
      <c r="N66" s="29"/>
      <c r="O66" s="29"/>
      <c r="P66" s="29"/>
      <c r="Q66" s="29"/>
      <c r="R66" s="29"/>
      <c r="S66" s="29"/>
    </row>
    <row r="67" spans="1:19" ht="12">
      <c r="A67" s="234"/>
      <c r="B67" s="29"/>
      <c r="C67" s="29"/>
      <c r="D67" s="29"/>
      <c r="E67" s="198"/>
      <c r="F67" s="29"/>
      <c r="G67" s="29"/>
      <c r="H67" s="29"/>
      <c r="I67" s="235"/>
      <c r="J67" s="236"/>
      <c r="K67" s="218"/>
      <c r="L67" s="29"/>
      <c r="M67" s="29"/>
      <c r="N67" s="29"/>
      <c r="O67" s="29"/>
      <c r="P67" s="29"/>
      <c r="Q67" s="29"/>
      <c r="R67" s="29"/>
      <c r="S67" s="29"/>
    </row>
    <row r="68" spans="1:19" ht="12">
      <c r="A68" s="234"/>
      <c r="B68" s="29"/>
      <c r="C68" s="29"/>
      <c r="D68" s="29"/>
      <c r="E68" s="198"/>
      <c r="F68" s="29"/>
      <c r="G68" s="29"/>
      <c r="H68" s="29"/>
      <c r="I68" s="235"/>
      <c r="J68" s="236"/>
      <c r="K68" s="218"/>
      <c r="L68" s="29"/>
      <c r="M68" s="29"/>
      <c r="N68" s="29"/>
      <c r="O68" s="29"/>
      <c r="P68" s="29"/>
      <c r="Q68" s="29"/>
      <c r="R68" s="29"/>
      <c r="S68" s="29"/>
    </row>
    <row r="69" spans="1:19" ht="12">
      <c r="A69" s="234"/>
      <c r="B69" s="29"/>
      <c r="C69" s="29"/>
      <c r="D69" s="29"/>
      <c r="E69" s="198"/>
      <c r="F69" s="29"/>
      <c r="G69" s="29"/>
      <c r="H69" s="29"/>
      <c r="I69" s="235"/>
      <c r="J69" s="236"/>
      <c r="K69" s="218"/>
      <c r="L69" s="29"/>
      <c r="M69" s="29"/>
      <c r="N69" s="29"/>
      <c r="O69" s="29"/>
      <c r="P69" s="29"/>
      <c r="Q69" s="29"/>
      <c r="R69" s="29"/>
      <c r="S69" s="29"/>
    </row>
    <row r="70" spans="1:19" ht="12">
      <c r="A70" s="234"/>
      <c r="B70" s="29"/>
      <c r="C70" s="29"/>
      <c r="D70" s="29"/>
      <c r="E70" s="198"/>
      <c r="F70" s="29"/>
      <c r="G70" s="29"/>
      <c r="H70" s="29"/>
      <c r="I70" s="235"/>
      <c r="J70" s="236"/>
      <c r="K70" s="218"/>
      <c r="L70" s="29"/>
      <c r="M70" s="29"/>
      <c r="N70" s="29"/>
      <c r="O70" s="29"/>
      <c r="P70" s="29"/>
      <c r="Q70" s="29"/>
      <c r="R70" s="29"/>
      <c r="S70" s="29"/>
    </row>
    <row r="71" spans="1:19" ht="12">
      <c r="A71" s="234"/>
      <c r="B71" s="29"/>
      <c r="C71" s="29"/>
      <c r="D71" s="29"/>
      <c r="E71" s="198"/>
      <c r="F71" s="29"/>
      <c r="G71" s="29"/>
      <c r="H71" s="29"/>
      <c r="I71" s="235"/>
      <c r="J71" s="236"/>
      <c r="K71" s="218"/>
      <c r="L71" s="29"/>
      <c r="M71" s="29"/>
      <c r="N71" s="29"/>
      <c r="O71" s="29"/>
      <c r="P71" s="29"/>
      <c r="Q71" s="29"/>
      <c r="R71" s="29"/>
      <c r="S71" s="29"/>
    </row>
    <row r="72" spans="1:19" ht="12">
      <c r="A72" s="234"/>
      <c r="B72" s="29"/>
      <c r="C72" s="29"/>
      <c r="D72" s="29"/>
      <c r="E72" s="198"/>
      <c r="F72" s="29"/>
      <c r="G72" s="29"/>
      <c r="H72" s="29"/>
      <c r="I72" s="235"/>
      <c r="J72" s="236"/>
      <c r="K72" s="218"/>
      <c r="L72" s="29"/>
      <c r="M72" s="29"/>
      <c r="N72" s="29"/>
      <c r="O72" s="29"/>
      <c r="P72" s="29"/>
      <c r="Q72" s="29"/>
      <c r="R72" s="29"/>
      <c r="S72" s="29"/>
    </row>
    <row r="73" spans="1:19" ht="12">
      <c r="A73" s="234"/>
      <c r="B73" s="29"/>
      <c r="C73" s="29"/>
      <c r="D73" s="29"/>
      <c r="E73" s="198"/>
      <c r="F73" s="29"/>
      <c r="G73" s="29"/>
      <c r="H73" s="29"/>
      <c r="I73" s="235"/>
      <c r="J73" s="236"/>
      <c r="K73" s="218"/>
      <c r="L73" s="29"/>
      <c r="M73" s="29"/>
      <c r="N73" s="29"/>
      <c r="O73" s="29"/>
      <c r="P73" s="29"/>
      <c r="Q73" s="29"/>
      <c r="R73" s="29"/>
      <c r="S73" s="29"/>
    </row>
    <row r="74" spans="1:19" ht="12">
      <c r="A74" s="234"/>
      <c r="B74" s="29"/>
      <c r="C74" s="29"/>
      <c r="D74" s="29"/>
      <c r="E74" s="198"/>
      <c r="F74" s="29"/>
      <c r="G74" s="29"/>
      <c r="H74" s="29"/>
      <c r="I74" s="235"/>
      <c r="J74" s="236"/>
      <c r="K74" s="218"/>
      <c r="L74" s="29"/>
      <c r="M74" s="29"/>
      <c r="N74" s="29"/>
      <c r="O74" s="29"/>
      <c r="P74" s="29"/>
      <c r="Q74" s="29"/>
      <c r="R74" s="29"/>
      <c r="S74" s="29"/>
    </row>
    <row r="75" spans="1:19" ht="12">
      <c r="A75" s="234"/>
      <c r="B75" s="29"/>
      <c r="C75" s="29"/>
      <c r="D75" s="29"/>
      <c r="E75" s="198"/>
      <c r="F75" s="29"/>
      <c r="G75" s="29"/>
      <c r="H75" s="29"/>
      <c r="I75" s="235"/>
      <c r="J75" s="236"/>
      <c r="K75" s="218"/>
      <c r="L75" s="29"/>
      <c r="M75" s="29"/>
      <c r="N75" s="29"/>
      <c r="O75" s="29"/>
      <c r="P75" s="29"/>
      <c r="Q75" s="29"/>
      <c r="R75" s="29"/>
      <c r="S75" s="29"/>
    </row>
    <row r="76" spans="1:19" ht="12">
      <c r="A76" s="234"/>
      <c r="B76" s="29"/>
      <c r="C76" s="29"/>
      <c r="D76" s="29"/>
      <c r="E76" s="198"/>
      <c r="F76" s="29"/>
      <c r="G76" s="29"/>
      <c r="H76" s="29"/>
      <c r="I76" s="235"/>
      <c r="J76" s="236"/>
      <c r="K76" s="218"/>
      <c r="L76" s="29"/>
      <c r="M76" s="29"/>
      <c r="N76" s="29"/>
      <c r="O76" s="29"/>
      <c r="P76" s="29"/>
      <c r="Q76" s="29"/>
      <c r="R76" s="29"/>
      <c r="S76" s="29"/>
    </row>
    <row r="77" spans="1:19" ht="12">
      <c r="A77" s="234"/>
      <c r="B77" s="29"/>
      <c r="C77" s="29"/>
      <c r="D77" s="29"/>
      <c r="E77" s="198"/>
      <c r="F77" s="29"/>
      <c r="G77" s="29"/>
      <c r="H77" s="29"/>
      <c r="I77" s="235"/>
      <c r="J77" s="236"/>
      <c r="K77" s="218"/>
      <c r="L77" s="29"/>
      <c r="M77" s="29"/>
      <c r="N77" s="29"/>
      <c r="O77" s="29"/>
      <c r="P77" s="29"/>
      <c r="Q77" s="29"/>
      <c r="R77" s="29"/>
      <c r="S77" s="29"/>
    </row>
    <row r="78" spans="1:19" ht="12">
      <c r="A78" s="234"/>
      <c r="B78" s="29"/>
      <c r="C78" s="29"/>
      <c r="D78" s="29"/>
      <c r="E78" s="198"/>
      <c r="F78" s="29"/>
      <c r="G78" s="29"/>
      <c r="H78" s="29"/>
      <c r="I78" s="235"/>
      <c r="J78" s="236"/>
      <c r="K78" s="218"/>
      <c r="L78" s="29"/>
      <c r="M78" s="29"/>
      <c r="N78" s="29"/>
      <c r="O78" s="29"/>
      <c r="P78" s="29"/>
      <c r="Q78" s="29"/>
      <c r="R78" s="29"/>
      <c r="S78" s="29"/>
    </row>
    <row r="79" spans="1:19" ht="12">
      <c r="A79" s="234"/>
      <c r="B79" s="29"/>
      <c r="C79" s="29"/>
      <c r="D79" s="29"/>
      <c r="E79" s="198"/>
      <c r="F79" s="29"/>
      <c r="G79" s="29"/>
      <c r="H79" s="29"/>
      <c r="I79" s="235"/>
      <c r="J79" s="236"/>
      <c r="K79" s="218"/>
      <c r="L79" s="29"/>
      <c r="M79" s="29"/>
      <c r="N79" s="29"/>
      <c r="O79" s="29"/>
      <c r="P79" s="29"/>
      <c r="Q79" s="29"/>
      <c r="R79" s="29"/>
      <c r="S79" s="29"/>
    </row>
    <row r="80" spans="1:19" ht="12">
      <c r="A80" s="234"/>
      <c r="B80" s="29"/>
      <c r="C80" s="29"/>
      <c r="D80" s="29"/>
      <c r="E80" s="198"/>
      <c r="F80" s="29"/>
      <c r="G80" s="29"/>
      <c r="H80" s="29"/>
      <c r="I80" s="235"/>
      <c r="J80" s="236"/>
      <c r="K80" s="218"/>
      <c r="L80" s="29"/>
      <c r="M80" s="29"/>
      <c r="N80" s="29"/>
      <c r="O80" s="29"/>
      <c r="P80" s="29"/>
      <c r="Q80" s="29"/>
      <c r="R80" s="29"/>
      <c r="S80" s="29"/>
    </row>
    <row r="81" spans="1:19" ht="12">
      <c r="A81" s="234"/>
      <c r="B81" s="29"/>
      <c r="C81" s="29"/>
      <c r="D81" s="29"/>
      <c r="E81" s="198"/>
      <c r="F81" s="29"/>
      <c r="G81" s="29"/>
      <c r="H81" s="29"/>
      <c r="I81" s="235"/>
      <c r="J81" s="236"/>
      <c r="K81" s="218"/>
      <c r="L81" s="29"/>
      <c r="M81" s="29"/>
      <c r="N81" s="29"/>
      <c r="O81" s="29"/>
      <c r="P81" s="29"/>
      <c r="Q81" s="29"/>
      <c r="R81" s="29"/>
      <c r="S81" s="29"/>
    </row>
    <row r="82" spans="1:19" ht="12">
      <c r="A82" s="234"/>
      <c r="B82" s="29"/>
      <c r="C82" s="29"/>
      <c r="D82" s="29"/>
      <c r="E82" s="198"/>
      <c r="F82" s="29"/>
      <c r="G82" s="29"/>
      <c r="H82" s="29"/>
      <c r="I82" s="235"/>
      <c r="J82" s="236"/>
      <c r="K82" s="218"/>
      <c r="L82" s="29"/>
      <c r="M82" s="29"/>
      <c r="N82" s="29"/>
      <c r="O82" s="29"/>
      <c r="P82" s="29"/>
      <c r="Q82" s="29"/>
      <c r="R82" s="29"/>
      <c r="S82" s="29"/>
    </row>
    <row r="83" spans="1:19" ht="12">
      <c r="A83" s="234"/>
      <c r="B83" s="29"/>
      <c r="C83" s="29"/>
      <c r="D83" s="29"/>
      <c r="E83" s="198"/>
      <c r="F83" s="29"/>
      <c r="G83" s="29"/>
      <c r="H83" s="29"/>
      <c r="I83" s="241"/>
      <c r="J83" s="236"/>
      <c r="K83" s="218"/>
      <c r="L83" s="29"/>
      <c r="M83" s="29"/>
      <c r="N83" s="29"/>
      <c r="O83" s="29"/>
      <c r="P83" s="29"/>
      <c r="Q83" s="29"/>
      <c r="R83" s="29"/>
      <c r="S83" s="29"/>
    </row>
    <row r="84" spans="1:19" ht="12">
      <c r="A84" s="234"/>
      <c r="B84" s="29"/>
      <c r="C84" s="29"/>
      <c r="D84" s="29"/>
      <c r="E84" s="198"/>
      <c r="F84" s="29"/>
      <c r="G84" s="29"/>
      <c r="H84" s="29"/>
      <c r="I84" s="235"/>
      <c r="J84" s="236"/>
      <c r="K84" s="218"/>
      <c r="L84" s="29"/>
      <c r="M84" s="29"/>
      <c r="N84" s="29"/>
      <c r="O84" s="29"/>
      <c r="P84" s="29"/>
      <c r="Q84" s="29"/>
      <c r="R84" s="29"/>
      <c r="S84" s="29"/>
    </row>
    <row r="85" spans="1:19" ht="12">
      <c r="A85" s="234"/>
      <c r="B85" s="29"/>
      <c r="C85" s="29"/>
      <c r="D85" s="29"/>
      <c r="E85" s="198"/>
      <c r="F85" s="29"/>
      <c r="G85" s="29"/>
      <c r="H85" s="29"/>
      <c r="I85" s="235"/>
      <c r="J85" s="236"/>
      <c r="K85" s="218"/>
      <c r="L85" s="29"/>
      <c r="M85" s="29"/>
      <c r="N85" s="29"/>
      <c r="O85" s="29"/>
      <c r="P85" s="29"/>
      <c r="Q85" s="29"/>
      <c r="R85" s="29"/>
      <c r="S85" s="29"/>
    </row>
    <row r="86" spans="1:19" ht="12">
      <c r="A86" s="234"/>
      <c r="B86" s="29"/>
      <c r="C86" s="29"/>
      <c r="D86" s="29"/>
      <c r="E86" s="198"/>
      <c r="F86" s="29"/>
      <c r="G86" s="29"/>
      <c r="H86" s="29"/>
      <c r="I86" s="235"/>
      <c r="J86" s="236"/>
      <c r="K86" s="218"/>
      <c r="L86" s="29"/>
      <c r="M86" s="29"/>
      <c r="N86" s="29"/>
      <c r="O86" s="29"/>
      <c r="P86" s="29"/>
      <c r="Q86" s="29"/>
      <c r="R86" s="29"/>
      <c r="S86" s="29"/>
    </row>
    <row r="87" spans="1:19" ht="12">
      <c r="A87" s="234"/>
      <c r="B87" s="29"/>
      <c r="C87" s="29"/>
      <c r="D87" s="29"/>
      <c r="E87" s="198"/>
      <c r="F87" s="29"/>
      <c r="G87" s="29"/>
      <c r="H87" s="29"/>
      <c r="I87" s="235"/>
      <c r="J87" s="236"/>
      <c r="K87" s="218"/>
      <c r="L87" s="29"/>
      <c r="M87" s="29"/>
      <c r="N87" s="29"/>
      <c r="O87" s="29"/>
      <c r="P87" s="29"/>
      <c r="Q87" s="29"/>
      <c r="R87" s="29"/>
      <c r="S87" s="29"/>
    </row>
    <row r="88" spans="1:19" ht="12">
      <c r="A88" s="234"/>
      <c r="B88" s="29"/>
      <c r="C88" s="29"/>
      <c r="D88" s="29"/>
      <c r="E88" s="198"/>
      <c r="F88" s="29"/>
      <c r="G88" s="29"/>
      <c r="H88" s="29"/>
      <c r="I88" s="235"/>
      <c r="J88" s="236"/>
      <c r="K88" s="218"/>
      <c r="L88" s="237"/>
      <c r="M88" s="237"/>
      <c r="N88" s="29"/>
      <c r="O88" s="29"/>
      <c r="P88" s="29"/>
      <c r="Q88" s="29"/>
      <c r="R88" s="29"/>
      <c r="S88" s="29"/>
    </row>
    <row r="89" spans="1:19" ht="12">
      <c r="A89" s="234"/>
      <c r="B89" s="29"/>
      <c r="C89" s="29"/>
      <c r="D89" s="29"/>
      <c r="E89" s="198"/>
      <c r="F89" s="29"/>
      <c r="G89" s="29"/>
      <c r="H89" s="29"/>
      <c r="I89" s="235"/>
      <c r="J89" s="236"/>
      <c r="K89" s="218"/>
      <c r="L89" s="29"/>
      <c r="M89" s="29"/>
      <c r="N89" s="29"/>
      <c r="O89" s="29"/>
      <c r="P89" s="29"/>
      <c r="Q89" s="29"/>
      <c r="R89" s="29"/>
      <c r="S89" s="29"/>
    </row>
    <row r="90" spans="1:19" ht="12">
      <c r="A90" s="234"/>
      <c r="B90" s="29"/>
      <c r="C90" s="29"/>
      <c r="D90" s="29"/>
      <c r="E90" s="198"/>
      <c r="F90" s="29"/>
      <c r="G90" s="29"/>
      <c r="H90" s="29"/>
      <c r="I90" s="235"/>
      <c r="J90" s="236"/>
      <c r="K90" s="218"/>
      <c r="L90" s="29"/>
      <c r="M90" s="29"/>
      <c r="N90" s="29"/>
      <c r="O90" s="29"/>
      <c r="P90" s="29"/>
      <c r="Q90" s="29"/>
      <c r="R90" s="29"/>
      <c r="S90" s="29"/>
    </row>
    <row r="91" spans="1:19" ht="12">
      <c r="A91" s="234"/>
      <c r="B91" s="29"/>
      <c r="C91" s="29"/>
      <c r="D91" s="29"/>
      <c r="E91" s="198"/>
      <c r="F91" s="29"/>
      <c r="G91" s="29"/>
      <c r="H91" s="29"/>
      <c r="I91" s="235"/>
      <c r="J91" s="236"/>
      <c r="K91" s="218"/>
      <c r="L91" s="29"/>
      <c r="M91" s="29"/>
      <c r="N91" s="29"/>
      <c r="O91" s="29"/>
      <c r="P91" s="29"/>
      <c r="Q91" s="29"/>
      <c r="R91" s="29"/>
      <c r="S91" s="29"/>
    </row>
    <row r="92" spans="1:19" ht="12">
      <c r="A92" s="234"/>
      <c r="B92" s="29"/>
      <c r="C92" s="29"/>
      <c r="D92" s="29"/>
      <c r="E92" s="198"/>
      <c r="F92" s="29"/>
      <c r="G92" s="29"/>
      <c r="H92" s="29"/>
      <c r="I92" s="235"/>
      <c r="J92" s="236"/>
      <c r="K92" s="218"/>
      <c r="L92" s="29"/>
      <c r="M92" s="29"/>
      <c r="N92" s="29"/>
      <c r="O92" s="29"/>
      <c r="P92" s="29"/>
      <c r="Q92" s="29"/>
      <c r="R92" s="29"/>
      <c r="S92" s="29"/>
    </row>
    <row r="93" spans="1:19" ht="12">
      <c r="A93" s="234"/>
      <c r="B93" s="29"/>
      <c r="C93" s="29"/>
      <c r="D93" s="29"/>
      <c r="E93" s="198"/>
      <c r="F93" s="29"/>
      <c r="G93" s="29"/>
      <c r="H93" s="29"/>
      <c r="I93" s="235"/>
      <c r="J93" s="236"/>
      <c r="K93" s="218"/>
      <c r="L93" s="29"/>
      <c r="M93" s="29"/>
      <c r="N93" s="29"/>
      <c r="O93" s="29"/>
      <c r="P93" s="29"/>
      <c r="Q93" s="29"/>
      <c r="R93" s="29"/>
      <c r="S93" s="29"/>
    </row>
    <row r="94" spans="1:19" ht="12">
      <c r="A94" s="234"/>
      <c r="B94" s="29"/>
      <c r="C94" s="29"/>
      <c r="D94" s="29"/>
      <c r="E94" s="198"/>
      <c r="F94" s="29"/>
      <c r="G94" s="29"/>
      <c r="H94" s="29"/>
      <c r="I94" s="235"/>
      <c r="J94" s="236"/>
      <c r="K94" s="218"/>
      <c r="L94" s="237"/>
      <c r="M94" s="237"/>
      <c r="N94" s="29"/>
      <c r="O94" s="29"/>
      <c r="P94" s="29"/>
      <c r="Q94" s="29"/>
      <c r="R94" s="29"/>
      <c r="S94" s="29"/>
    </row>
    <row r="95" spans="1:19" ht="12">
      <c r="A95" s="234"/>
      <c r="B95" s="29"/>
      <c r="C95" s="29"/>
      <c r="D95" s="29"/>
      <c r="E95" s="198"/>
      <c r="F95" s="29"/>
      <c r="G95" s="29"/>
      <c r="H95" s="29"/>
      <c r="I95" s="235"/>
      <c r="J95" s="236"/>
      <c r="K95" s="218"/>
      <c r="L95" s="29"/>
      <c r="M95" s="29"/>
      <c r="N95" s="29"/>
      <c r="O95" s="29"/>
      <c r="P95" s="29"/>
      <c r="Q95" s="29"/>
      <c r="R95" s="29"/>
      <c r="S95" s="29"/>
    </row>
    <row r="96" spans="1:19" ht="12">
      <c r="A96" s="234"/>
      <c r="B96" s="29"/>
      <c r="C96" s="29"/>
      <c r="D96" s="29"/>
      <c r="E96" s="198"/>
      <c r="F96" s="29"/>
      <c r="G96" s="29"/>
      <c r="H96" s="29"/>
      <c r="I96" s="235"/>
      <c r="J96" s="236"/>
      <c r="K96" s="218"/>
      <c r="L96" s="29"/>
      <c r="M96" s="29"/>
      <c r="N96" s="29"/>
      <c r="O96" s="29"/>
      <c r="P96" s="29"/>
      <c r="Q96" s="29"/>
      <c r="R96" s="29"/>
      <c r="S96" s="29"/>
    </row>
    <row r="97" spans="1:19" ht="12">
      <c r="A97" s="234"/>
      <c r="B97" s="29"/>
      <c r="C97" s="29"/>
      <c r="D97" s="237"/>
      <c r="E97" s="238"/>
      <c r="F97" s="237"/>
      <c r="G97" s="237"/>
      <c r="H97" s="237"/>
      <c r="I97" s="239"/>
      <c r="J97" s="240"/>
      <c r="K97" s="218"/>
      <c r="L97" s="29"/>
      <c r="M97" s="29"/>
      <c r="N97" s="29"/>
      <c r="O97" s="29"/>
      <c r="P97" s="29"/>
      <c r="Q97" s="29"/>
      <c r="R97" s="29"/>
      <c r="S97" s="29"/>
    </row>
    <row r="98" spans="1:19" ht="12">
      <c r="A98" s="234"/>
      <c r="B98" s="29"/>
      <c r="C98" s="29"/>
      <c r="D98" s="29"/>
      <c r="E98" s="198"/>
      <c r="F98" s="29"/>
      <c r="G98" s="29"/>
      <c r="H98" s="29"/>
      <c r="I98" s="235"/>
      <c r="J98" s="236"/>
      <c r="K98" s="218"/>
      <c r="L98" s="29"/>
      <c r="M98" s="29"/>
      <c r="N98" s="29"/>
      <c r="O98" s="29"/>
      <c r="P98" s="29"/>
      <c r="Q98" s="29"/>
      <c r="R98" s="29"/>
      <c r="S98" s="29"/>
    </row>
    <row r="99" spans="1:19" ht="12">
      <c r="A99" s="234"/>
      <c r="B99" s="29"/>
      <c r="C99" s="29"/>
      <c r="D99" s="29"/>
      <c r="E99" s="198"/>
      <c r="F99" s="29"/>
      <c r="G99" s="29"/>
      <c r="H99" s="29"/>
      <c r="I99" s="235"/>
      <c r="J99" s="236"/>
      <c r="K99" s="218"/>
      <c r="L99" s="29"/>
      <c r="M99" s="29"/>
      <c r="N99" s="29"/>
      <c r="O99" s="29"/>
      <c r="P99" s="29"/>
      <c r="Q99" s="29"/>
      <c r="R99" s="29"/>
      <c r="S99" s="29"/>
    </row>
    <row r="100" spans="1:19" ht="12">
      <c r="A100" s="234"/>
      <c r="B100" s="29"/>
      <c r="C100" s="29"/>
      <c r="D100" s="29"/>
      <c r="E100" s="198"/>
      <c r="F100" s="29"/>
      <c r="G100" s="29"/>
      <c r="H100" s="29"/>
      <c r="I100" s="235"/>
      <c r="J100" s="236"/>
      <c r="K100" s="218"/>
      <c r="L100" s="29"/>
      <c r="M100" s="29"/>
      <c r="N100" s="29"/>
      <c r="O100" s="29"/>
      <c r="P100" s="29"/>
      <c r="Q100" s="29"/>
      <c r="R100" s="29"/>
      <c r="S100" s="29"/>
    </row>
    <row r="101" spans="1:19" ht="12">
      <c r="A101" s="234"/>
      <c r="B101" s="29"/>
      <c r="C101" s="29"/>
      <c r="D101" s="29"/>
      <c r="E101" s="198"/>
      <c r="F101" s="29"/>
      <c r="G101" s="29"/>
      <c r="H101" s="29"/>
      <c r="I101" s="235"/>
      <c r="J101" s="236"/>
      <c r="K101" s="218"/>
      <c r="L101" s="29"/>
      <c r="M101" s="29"/>
      <c r="N101" s="29"/>
      <c r="O101" s="29"/>
      <c r="P101" s="29"/>
      <c r="Q101" s="29"/>
      <c r="R101" s="29"/>
      <c r="S101" s="29"/>
    </row>
    <row r="102" spans="1:19" ht="12">
      <c r="A102" s="234"/>
      <c r="B102" s="29"/>
      <c r="C102" s="29"/>
      <c r="D102" s="29"/>
      <c r="E102" s="198"/>
      <c r="F102" s="29"/>
      <c r="G102" s="29"/>
      <c r="H102" s="29"/>
      <c r="I102" s="235"/>
      <c r="J102" s="236"/>
      <c r="K102" s="218"/>
      <c r="L102" s="29"/>
      <c r="M102" s="29"/>
      <c r="N102" s="29"/>
      <c r="O102" s="29"/>
      <c r="P102" s="29"/>
      <c r="Q102" s="29"/>
      <c r="R102" s="29"/>
      <c r="S102" s="29"/>
    </row>
    <row r="103" spans="1:19" ht="12">
      <c r="A103" s="234"/>
      <c r="B103" s="29"/>
      <c r="C103" s="29"/>
      <c r="D103" s="237"/>
      <c r="E103" s="238"/>
      <c r="F103" s="237"/>
      <c r="G103" s="237"/>
      <c r="H103" s="237"/>
      <c r="I103" s="239"/>
      <c r="J103" s="240"/>
      <c r="K103" s="218"/>
      <c r="L103" s="29"/>
      <c r="M103" s="29"/>
      <c r="N103" s="29"/>
      <c r="O103" s="29"/>
      <c r="P103" s="29"/>
      <c r="Q103" s="29"/>
      <c r="R103" s="29"/>
      <c r="S103" s="29"/>
    </row>
    <row r="104" spans="1:19" ht="12">
      <c r="A104" s="234"/>
      <c r="B104" s="29"/>
      <c r="C104" s="29"/>
      <c r="D104" s="29"/>
      <c r="E104" s="198"/>
      <c r="F104" s="29"/>
      <c r="G104" s="29"/>
      <c r="H104" s="29"/>
      <c r="I104" s="235"/>
      <c r="J104" s="236"/>
      <c r="K104" s="218"/>
      <c r="L104" s="29"/>
      <c r="M104" s="29"/>
      <c r="N104" s="29"/>
      <c r="O104" s="29"/>
      <c r="P104" s="29"/>
      <c r="Q104" s="29"/>
      <c r="R104" s="29"/>
      <c r="S104" s="29"/>
    </row>
    <row r="105" spans="1:19" ht="12">
      <c r="A105" s="234"/>
      <c r="B105" s="29"/>
      <c r="C105" s="29"/>
      <c r="D105" s="29"/>
      <c r="E105" s="198"/>
      <c r="F105" s="29"/>
      <c r="G105" s="29"/>
      <c r="H105" s="29"/>
      <c r="I105" s="235"/>
      <c r="J105" s="236"/>
      <c r="K105" s="218"/>
      <c r="L105" s="29"/>
      <c r="M105" s="29"/>
      <c r="N105" s="29"/>
      <c r="O105" s="29"/>
      <c r="P105" s="29"/>
      <c r="Q105" s="29"/>
      <c r="R105" s="29"/>
      <c r="S105" s="29"/>
    </row>
    <row r="106" spans="1:19" ht="12">
      <c r="A106" s="234"/>
      <c r="B106" s="29"/>
      <c r="C106" s="29"/>
      <c r="D106" s="29"/>
      <c r="E106" s="198"/>
      <c r="F106" s="29"/>
      <c r="G106" s="29"/>
      <c r="H106" s="29"/>
      <c r="I106" s="235"/>
      <c r="J106" s="236"/>
      <c r="K106" s="218"/>
      <c r="L106" s="29"/>
      <c r="M106" s="29"/>
      <c r="N106" s="29"/>
      <c r="O106" s="29"/>
      <c r="P106" s="29"/>
      <c r="Q106" s="29"/>
      <c r="R106" s="29"/>
      <c r="S106" s="29"/>
    </row>
    <row r="107" spans="1:19" ht="12">
      <c r="A107" s="234"/>
      <c r="B107" s="29"/>
      <c r="C107" s="29"/>
      <c r="D107" s="29"/>
      <c r="E107" s="198"/>
      <c r="F107" s="29"/>
      <c r="G107" s="29"/>
      <c r="H107" s="29"/>
      <c r="I107" s="235"/>
      <c r="J107" s="236"/>
      <c r="K107" s="218"/>
      <c r="L107" s="29"/>
      <c r="M107" s="29"/>
      <c r="N107" s="29"/>
      <c r="O107" s="29"/>
      <c r="P107" s="29"/>
      <c r="Q107" s="29"/>
      <c r="R107" s="29"/>
      <c r="S107" s="29"/>
    </row>
    <row r="108" spans="1:19" ht="12">
      <c r="A108" s="234"/>
      <c r="B108" s="29"/>
      <c r="C108" s="29"/>
      <c r="D108" s="29"/>
      <c r="E108" s="198"/>
      <c r="F108" s="29"/>
      <c r="G108" s="29"/>
      <c r="H108" s="29"/>
      <c r="I108" s="235"/>
      <c r="J108" s="236"/>
      <c r="K108" s="218"/>
      <c r="L108" s="29"/>
      <c r="M108" s="29"/>
      <c r="N108" s="29"/>
      <c r="O108" s="29"/>
      <c r="P108" s="29"/>
      <c r="Q108" s="29"/>
      <c r="R108" s="29"/>
      <c r="S108" s="29"/>
    </row>
    <row r="109" spans="1:19" ht="12">
      <c r="A109" s="234"/>
      <c r="B109" s="29"/>
      <c r="C109" s="29"/>
      <c r="D109" s="29"/>
      <c r="E109" s="198"/>
      <c r="F109" s="29"/>
      <c r="G109" s="29"/>
      <c r="H109" s="29"/>
      <c r="I109" s="235"/>
      <c r="J109" s="236"/>
      <c r="K109" s="218"/>
      <c r="L109" s="29"/>
      <c r="M109" s="29"/>
      <c r="N109" s="29"/>
      <c r="O109" s="29"/>
      <c r="P109" s="29"/>
      <c r="Q109" s="29"/>
      <c r="R109" s="29"/>
      <c r="S109" s="29"/>
    </row>
    <row r="110" spans="1:19" ht="12">
      <c r="A110" s="234"/>
      <c r="B110" s="29"/>
      <c r="C110" s="29"/>
      <c r="D110" s="29"/>
      <c r="E110" s="198"/>
      <c r="F110" s="29"/>
      <c r="G110" s="29"/>
      <c r="H110" s="29"/>
      <c r="I110" s="235"/>
      <c r="J110" s="236"/>
      <c r="K110" s="218"/>
      <c r="L110" s="29"/>
      <c r="M110" s="29"/>
      <c r="N110" s="29"/>
      <c r="O110" s="29"/>
      <c r="P110" s="29"/>
      <c r="Q110" s="29"/>
      <c r="R110" s="29"/>
      <c r="S110" s="29"/>
    </row>
    <row r="111" spans="1:19" ht="12">
      <c r="A111" s="234"/>
      <c r="B111" s="29"/>
      <c r="C111" s="29"/>
      <c r="D111" s="29"/>
      <c r="E111" s="198"/>
      <c r="F111" s="29"/>
      <c r="G111" s="29"/>
      <c r="H111" s="29"/>
      <c r="I111" s="235"/>
      <c r="J111" s="236"/>
      <c r="K111" s="218"/>
      <c r="L111" s="29"/>
      <c r="M111" s="29"/>
      <c r="N111" s="29"/>
      <c r="O111" s="29"/>
      <c r="P111" s="29"/>
      <c r="Q111" s="29"/>
      <c r="R111" s="29"/>
      <c r="S111" s="29"/>
    </row>
    <row r="112" spans="1:19" ht="12">
      <c r="A112" s="234"/>
      <c r="B112" s="29"/>
      <c r="C112" s="29"/>
      <c r="D112" s="29"/>
      <c r="E112" s="198"/>
      <c r="F112" s="29"/>
      <c r="G112" s="29"/>
      <c r="H112" s="29"/>
      <c r="I112" s="235"/>
      <c r="J112" s="236"/>
      <c r="K112" s="218"/>
      <c r="L112" s="29"/>
      <c r="M112" s="29"/>
      <c r="N112" s="29"/>
      <c r="O112" s="29"/>
      <c r="P112" s="29"/>
      <c r="Q112" s="29"/>
      <c r="R112" s="29"/>
      <c r="S112" s="29"/>
    </row>
    <row r="113" spans="1:19" ht="12">
      <c r="A113" s="234"/>
      <c r="B113" s="29"/>
      <c r="C113" s="29"/>
      <c r="D113" s="29"/>
      <c r="E113" s="198"/>
      <c r="F113" s="29"/>
      <c r="G113" s="29"/>
      <c r="H113" s="29"/>
      <c r="I113" s="235"/>
      <c r="J113" s="236"/>
      <c r="K113" s="218"/>
      <c r="L113" s="29"/>
      <c r="M113" s="29"/>
      <c r="N113" s="29"/>
      <c r="O113" s="29"/>
      <c r="P113" s="29"/>
      <c r="Q113" s="29"/>
      <c r="R113" s="29"/>
      <c r="S113" s="29"/>
    </row>
    <row r="114" spans="1:19" ht="12">
      <c r="A114" s="234"/>
      <c r="B114" s="29"/>
      <c r="C114" s="29"/>
      <c r="D114" s="29"/>
      <c r="E114" s="198"/>
      <c r="F114" s="29"/>
      <c r="G114" s="29"/>
      <c r="H114" s="29"/>
      <c r="I114" s="235"/>
      <c r="J114" s="236"/>
      <c r="K114" s="218"/>
      <c r="L114" s="29"/>
      <c r="M114" s="29"/>
      <c r="N114" s="29"/>
      <c r="O114" s="29"/>
      <c r="P114" s="29"/>
      <c r="Q114" s="29"/>
      <c r="R114" s="29"/>
      <c r="S114" s="29"/>
    </row>
    <row r="115" spans="1:19" ht="12">
      <c r="A115" s="234"/>
      <c r="B115" s="29"/>
      <c r="C115" s="29"/>
      <c r="D115" s="29"/>
      <c r="E115" s="198"/>
      <c r="F115" s="29"/>
      <c r="G115" s="29"/>
      <c r="H115" s="29"/>
      <c r="I115" s="235"/>
      <c r="J115" s="236"/>
      <c r="K115" s="218"/>
      <c r="L115" s="29"/>
      <c r="M115" s="29"/>
      <c r="N115" s="29"/>
      <c r="O115" s="29"/>
      <c r="P115" s="29"/>
      <c r="Q115" s="29"/>
      <c r="R115" s="29"/>
      <c r="S115" s="29"/>
    </row>
    <row r="116" spans="1:19" ht="12">
      <c r="A116" s="234"/>
      <c r="B116" s="29"/>
      <c r="C116" s="29"/>
      <c r="D116" s="29"/>
      <c r="E116" s="198"/>
      <c r="F116" s="29"/>
      <c r="G116" s="29"/>
      <c r="H116" s="29"/>
      <c r="I116" s="235"/>
      <c r="J116" s="236"/>
      <c r="K116" s="218"/>
      <c r="L116" s="29"/>
      <c r="M116" s="29"/>
      <c r="N116" s="29"/>
      <c r="O116" s="29"/>
      <c r="P116" s="29"/>
      <c r="Q116" s="29"/>
      <c r="R116" s="29"/>
      <c r="S116" s="29"/>
    </row>
    <row r="117" spans="1:19" ht="12">
      <c r="A117" s="234"/>
      <c r="B117" s="29"/>
      <c r="C117" s="29"/>
      <c r="D117" s="29"/>
      <c r="E117" s="198"/>
      <c r="F117" s="29"/>
      <c r="G117" s="29"/>
      <c r="H117" s="29"/>
      <c r="I117" s="235"/>
      <c r="J117" s="236"/>
      <c r="K117" s="218"/>
      <c r="L117" s="29"/>
      <c r="M117" s="29"/>
      <c r="N117" s="29"/>
      <c r="O117" s="29"/>
      <c r="P117" s="29"/>
      <c r="Q117" s="29"/>
      <c r="R117" s="29"/>
      <c r="S117" s="29"/>
    </row>
    <row r="118" spans="1:19" ht="12">
      <c r="A118" s="234"/>
      <c r="B118" s="29"/>
      <c r="C118" s="29"/>
      <c r="D118" s="29"/>
      <c r="E118" s="198"/>
      <c r="F118" s="29"/>
      <c r="G118" s="29"/>
      <c r="H118" s="29"/>
      <c r="I118" s="235"/>
      <c r="J118" s="236"/>
      <c r="K118" s="218"/>
      <c r="L118" s="29"/>
      <c r="M118" s="29"/>
      <c r="N118" s="29"/>
      <c r="O118" s="29"/>
      <c r="P118" s="29"/>
      <c r="Q118" s="29"/>
      <c r="R118" s="29"/>
      <c r="S118" s="29"/>
    </row>
    <row r="119" spans="1:19" ht="12">
      <c r="A119" s="234"/>
      <c r="B119" s="29"/>
      <c r="C119" s="29"/>
      <c r="D119" s="29"/>
      <c r="E119" s="198"/>
      <c r="F119" s="29"/>
      <c r="G119" s="29"/>
      <c r="H119" s="29"/>
      <c r="I119" s="235"/>
      <c r="J119" s="236"/>
      <c r="K119" s="218"/>
      <c r="L119" s="29"/>
      <c r="M119" s="29"/>
      <c r="N119" s="29"/>
      <c r="O119" s="29"/>
      <c r="P119" s="29"/>
      <c r="Q119" s="29"/>
      <c r="R119" s="29"/>
      <c r="S119" s="29"/>
    </row>
    <row r="120" spans="1:19" ht="12">
      <c r="A120" s="234"/>
      <c r="B120" s="29"/>
      <c r="C120" s="29"/>
      <c r="D120" s="29"/>
      <c r="E120" s="198"/>
      <c r="F120" s="29"/>
      <c r="G120" s="29"/>
      <c r="H120" s="29"/>
      <c r="I120" s="235"/>
      <c r="J120" s="236"/>
      <c r="K120" s="218"/>
      <c r="L120" s="29"/>
      <c r="M120" s="29"/>
      <c r="N120" s="29"/>
      <c r="O120" s="29"/>
      <c r="P120" s="29"/>
      <c r="Q120" s="29"/>
      <c r="R120" s="29"/>
      <c r="S120" s="29"/>
    </row>
    <row r="121" spans="1:19" ht="12">
      <c r="A121" s="234"/>
      <c r="B121" s="29"/>
      <c r="C121" s="29"/>
      <c r="D121" s="29"/>
      <c r="E121" s="198"/>
      <c r="F121" s="29"/>
      <c r="G121" s="29"/>
      <c r="H121" s="29"/>
      <c r="I121" s="235"/>
      <c r="J121" s="236"/>
      <c r="K121" s="218"/>
      <c r="L121" s="29"/>
      <c r="M121" s="29"/>
      <c r="N121" s="29"/>
      <c r="O121" s="29"/>
      <c r="P121" s="29"/>
      <c r="Q121" s="29"/>
      <c r="R121" s="29"/>
      <c r="S121" s="29"/>
    </row>
    <row r="122" spans="1:19" ht="12">
      <c r="A122" s="234"/>
      <c r="B122" s="29"/>
      <c r="C122" s="29"/>
      <c r="D122" s="29"/>
      <c r="E122" s="198"/>
      <c r="F122" s="29"/>
      <c r="G122" s="29"/>
      <c r="H122" s="29"/>
      <c r="I122" s="235"/>
      <c r="J122" s="236"/>
      <c r="K122" s="218"/>
      <c r="L122" s="29"/>
      <c r="M122" s="29"/>
      <c r="N122" s="29"/>
      <c r="O122" s="29"/>
      <c r="P122" s="29"/>
      <c r="Q122" s="29"/>
      <c r="R122" s="29"/>
      <c r="S122" s="29"/>
    </row>
    <row r="123" spans="1:19" ht="12">
      <c r="A123" s="234"/>
      <c r="B123" s="29"/>
      <c r="C123" s="29"/>
      <c r="D123" s="29"/>
      <c r="E123" s="198"/>
      <c r="F123" s="29"/>
      <c r="G123" s="29"/>
      <c r="H123" s="29"/>
      <c r="I123" s="235"/>
      <c r="J123" s="236"/>
      <c r="K123" s="218"/>
      <c r="L123" s="29"/>
      <c r="M123" s="29"/>
      <c r="N123" s="29"/>
      <c r="O123" s="29"/>
      <c r="P123" s="29"/>
      <c r="Q123" s="29"/>
      <c r="R123" s="29"/>
      <c r="S123" s="29"/>
    </row>
    <row r="124" spans="1:19" ht="12">
      <c r="A124" s="234"/>
      <c r="B124" s="29"/>
      <c r="C124" s="29"/>
      <c r="D124" s="29"/>
      <c r="E124" s="198"/>
      <c r="F124" s="29"/>
      <c r="G124" s="29"/>
      <c r="H124" s="29"/>
      <c r="I124" s="235"/>
      <c r="J124" s="236"/>
      <c r="K124" s="218"/>
      <c r="L124" s="29"/>
      <c r="M124" s="29"/>
      <c r="N124" s="29"/>
      <c r="O124" s="29"/>
      <c r="P124" s="29"/>
      <c r="Q124" s="29"/>
      <c r="R124" s="29"/>
      <c r="S124" s="29"/>
    </row>
    <row r="125" spans="1:19" ht="12">
      <c r="A125" s="234"/>
      <c r="B125" s="29"/>
      <c r="C125" s="29"/>
      <c r="D125" s="29"/>
      <c r="E125" s="198"/>
      <c r="F125" s="29"/>
      <c r="G125" s="29"/>
      <c r="H125" s="29"/>
      <c r="I125" s="235"/>
      <c r="J125" s="236"/>
      <c r="K125" s="218"/>
      <c r="L125" s="29"/>
      <c r="M125" s="29"/>
      <c r="N125" s="29"/>
      <c r="O125" s="29"/>
      <c r="P125" s="29"/>
      <c r="Q125" s="29"/>
      <c r="R125" s="29"/>
      <c r="S125" s="29"/>
    </row>
    <row r="126" spans="1:19" ht="12">
      <c r="A126" s="234"/>
      <c r="B126" s="29"/>
      <c r="C126" s="29"/>
      <c r="D126" s="29"/>
      <c r="E126" s="198"/>
      <c r="F126" s="29"/>
      <c r="G126" s="29"/>
      <c r="H126" s="29"/>
      <c r="I126" s="235"/>
      <c r="J126" s="236"/>
      <c r="K126" s="218"/>
      <c r="L126" s="29"/>
      <c r="M126" s="29"/>
      <c r="N126" s="29"/>
      <c r="O126" s="29"/>
      <c r="P126" s="29"/>
      <c r="Q126" s="29"/>
      <c r="R126" s="29"/>
      <c r="S126" s="29"/>
    </row>
    <row r="127" spans="1:19" ht="12">
      <c r="A127" s="234"/>
      <c r="B127" s="29"/>
      <c r="C127" s="29"/>
      <c r="D127" s="29"/>
      <c r="E127" s="198"/>
      <c r="F127" s="29"/>
      <c r="G127" s="29"/>
      <c r="H127" s="29"/>
      <c r="I127" s="235"/>
      <c r="J127" s="236"/>
      <c r="K127" s="218"/>
      <c r="L127" s="29"/>
      <c r="M127" s="29"/>
      <c r="N127" s="29"/>
      <c r="O127" s="29"/>
      <c r="P127" s="29"/>
      <c r="Q127" s="29"/>
      <c r="R127" s="29"/>
      <c r="S127" s="29"/>
    </row>
    <row r="128" spans="1:19" ht="12">
      <c r="A128" s="234"/>
      <c r="B128" s="29"/>
      <c r="C128" s="29"/>
      <c r="D128" s="29"/>
      <c r="E128" s="198"/>
      <c r="F128" s="29"/>
      <c r="G128" s="29"/>
      <c r="H128" s="29"/>
      <c r="I128" s="235"/>
      <c r="J128" s="236"/>
      <c r="K128" s="218"/>
      <c r="L128" s="29"/>
      <c r="M128" s="29"/>
      <c r="N128" s="29"/>
      <c r="O128" s="29"/>
      <c r="P128" s="29"/>
      <c r="Q128" s="29"/>
      <c r="R128" s="29"/>
      <c r="S128" s="29"/>
    </row>
    <row r="129" spans="1:19" ht="12">
      <c r="A129" s="234"/>
      <c r="B129" s="29"/>
      <c r="C129" s="29"/>
      <c r="D129" s="29"/>
      <c r="E129" s="198"/>
      <c r="F129" s="29"/>
      <c r="G129" s="29"/>
      <c r="H129" s="29"/>
      <c r="I129" s="235"/>
      <c r="J129" s="236"/>
      <c r="K129" s="218"/>
      <c r="L129" s="29"/>
      <c r="M129" s="29"/>
      <c r="N129" s="29"/>
      <c r="O129" s="29"/>
      <c r="P129" s="29"/>
      <c r="Q129" s="29"/>
      <c r="R129" s="29"/>
      <c r="S129" s="29"/>
    </row>
    <row r="130" spans="1:19" ht="12">
      <c r="A130" s="234"/>
      <c r="B130" s="29"/>
      <c r="C130" s="29"/>
      <c r="D130" s="29"/>
      <c r="E130" s="198"/>
      <c r="F130" s="29"/>
      <c r="G130" s="29"/>
      <c r="H130" s="29"/>
      <c r="I130" s="235"/>
      <c r="J130" s="236"/>
      <c r="K130" s="218"/>
      <c r="L130" s="29"/>
      <c r="M130" s="29"/>
      <c r="N130" s="29"/>
      <c r="O130" s="29"/>
      <c r="P130" s="29"/>
      <c r="Q130" s="29"/>
      <c r="R130" s="29"/>
      <c r="S130" s="29"/>
    </row>
    <row r="131" spans="1:19" ht="12">
      <c r="A131" s="234"/>
      <c r="B131" s="29"/>
      <c r="C131" s="29"/>
      <c r="D131" s="29"/>
      <c r="E131" s="198"/>
      <c r="F131" s="29"/>
      <c r="G131" s="29"/>
      <c r="H131" s="29"/>
      <c r="I131" s="235"/>
      <c r="J131" s="236"/>
      <c r="K131" s="218"/>
      <c r="L131" s="29"/>
      <c r="M131" s="29"/>
      <c r="N131" s="29"/>
      <c r="O131" s="29"/>
      <c r="P131" s="29"/>
      <c r="Q131" s="29"/>
      <c r="R131" s="29"/>
      <c r="S131" s="29"/>
    </row>
    <row r="132" spans="1:19" ht="12">
      <c r="A132" s="234"/>
      <c r="B132" s="29"/>
      <c r="C132" s="29"/>
      <c r="D132" s="29"/>
      <c r="E132" s="198"/>
      <c r="F132" s="29"/>
      <c r="G132" s="29"/>
      <c r="H132" s="29"/>
      <c r="I132" s="235"/>
      <c r="J132" s="236"/>
      <c r="K132" s="218"/>
      <c r="L132" s="29"/>
      <c r="M132" s="29"/>
      <c r="N132" s="29"/>
      <c r="O132" s="29"/>
      <c r="P132" s="29"/>
      <c r="Q132" s="29"/>
      <c r="R132" s="29"/>
      <c r="S132" s="29"/>
    </row>
    <row r="133" spans="1:19" ht="12">
      <c r="A133" s="234"/>
      <c r="B133" s="29"/>
      <c r="C133" s="29"/>
      <c r="D133" s="29"/>
      <c r="E133" s="198"/>
      <c r="F133" s="29"/>
      <c r="G133" s="29"/>
      <c r="H133" s="29"/>
      <c r="I133" s="235"/>
      <c r="J133" s="236"/>
      <c r="K133" s="218"/>
      <c r="L133" s="29"/>
      <c r="M133" s="29"/>
      <c r="N133" s="29"/>
      <c r="O133" s="29"/>
      <c r="P133" s="29"/>
      <c r="Q133" s="29"/>
      <c r="R133" s="29"/>
      <c r="S133" s="29"/>
    </row>
    <row r="134" spans="1:19" ht="12">
      <c r="A134" s="234"/>
      <c r="B134" s="29"/>
      <c r="C134" s="29"/>
      <c r="D134" s="29"/>
      <c r="E134" s="198"/>
      <c r="F134" s="29"/>
      <c r="G134" s="29"/>
      <c r="H134" s="29"/>
      <c r="I134" s="235"/>
      <c r="J134" s="236"/>
      <c r="K134" s="218"/>
      <c r="L134" s="29"/>
      <c r="M134" s="29"/>
      <c r="N134" s="29"/>
      <c r="O134" s="29"/>
      <c r="P134" s="29"/>
      <c r="Q134" s="29"/>
      <c r="R134" s="29"/>
      <c r="S134" s="29"/>
    </row>
    <row r="135" spans="1:19" ht="12">
      <c r="A135" s="234"/>
      <c r="B135" s="29"/>
      <c r="C135" s="29"/>
      <c r="D135" s="29"/>
      <c r="E135" s="198"/>
      <c r="F135" s="29"/>
      <c r="G135" s="29"/>
      <c r="H135" s="29"/>
      <c r="I135" s="235"/>
      <c r="J135" s="236"/>
      <c r="K135" s="218"/>
      <c r="L135" s="29"/>
      <c r="M135" s="29"/>
      <c r="N135" s="29"/>
      <c r="O135" s="29"/>
      <c r="P135" s="29"/>
      <c r="Q135" s="29"/>
      <c r="R135" s="29"/>
      <c r="S135" s="29"/>
    </row>
    <row r="136" spans="1:19" ht="12">
      <c r="A136" s="234"/>
      <c r="B136" s="29"/>
      <c r="C136" s="29"/>
      <c r="D136" s="29"/>
      <c r="E136" s="198"/>
      <c r="F136" s="29"/>
      <c r="G136" s="29"/>
      <c r="H136" s="29"/>
      <c r="I136" s="235"/>
      <c r="J136" s="236"/>
      <c r="K136" s="218"/>
      <c r="L136" s="29"/>
      <c r="M136" s="29"/>
      <c r="N136" s="29"/>
      <c r="O136" s="29"/>
      <c r="P136" s="29"/>
      <c r="Q136" s="29"/>
      <c r="R136" s="29"/>
      <c r="S136" s="29"/>
    </row>
    <row r="137" spans="1:19" ht="12">
      <c r="A137" s="234"/>
      <c r="B137" s="29"/>
      <c r="C137" s="29"/>
      <c r="D137" s="29"/>
      <c r="E137" s="198"/>
      <c r="F137" s="29"/>
      <c r="G137" s="29"/>
      <c r="H137" s="29"/>
      <c r="I137" s="235"/>
      <c r="J137" s="236"/>
      <c r="K137" s="218"/>
      <c r="L137" s="29"/>
      <c r="M137" s="29"/>
      <c r="N137" s="29"/>
      <c r="O137" s="29"/>
      <c r="P137" s="29"/>
      <c r="Q137" s="29"/>
      <c r="R137" s="29"/>
      <c r="S137" s="29"/>
    </row>
    <row r="138" spans="1:19" ht="12">
      <c r="A138" s="234"/>
      <c r="B138" s="29"/>
      <c r="C138" s="29"/>
      <c r="D138" s="29"/>
      <c r="E138" s="198"/>
      <c r="F138" s="29"/>
      <c r="G138" s="29"/>
      <c r="H138" s="29"/>
      <c r="I138" s="235"/>
      <c r="J138" s="236"/>
      <c r="K138" s="218"/>
      <c r="L138" s="29"/>
      <c r="M138" s="29"/>
      <c r="N138" s="29"/>
      <c r="O138" s="29"/>
      <c r="P138" s="29"/>
      <c r="Q138" s="29"/>
      <c r="R138" s="29"/>
      <c r="S138" s="29"/>
    </row>
    <row r="139" spans="1:19" ht="12">
      <c r="A139" s="234"/>
      <c r="B139" s="29"/>
      <c r="C139" s="29"/>
      <c r="D139" s="29"/>
      <c r="E139" s="198"/>
      <c r="F139" s="29"/>
      <c r="G139" s="29"/>
      <c r="H139" s="29"/>
      <c r="I139" s="235"/>
      <c r="J139" s="236"/>
      <c r="K139" s="218"/>
      <c r="L139" s="29"/>
      <c r="M139" s="29"/>
      <c r="N139" s="29"/>
      <c r="O139" s="29"/>
      <c r="P139" s="29"/>
      <c r="Q139" s="29"/>
      <c r="R139" s="29"/>
      <c r="S139" s="29"/>
    </row>
    <row r="140" spans="1:19" ht="12">
      <c r="A140" s="234"/>
      <c r="B140" s="29"/>
      <c r="C140" s="29"/>
      <c r="D140" s="29"/>
      <c r="E140" s="198"/>
      <c r="F140" s="29"/>
      <c r="G140" s="29"/>
      <c r="H140" s="29"/>
      <c r="I140" s="235"/>
      <c r="J140" s="236"/>
      <c r="K140" s="218"/>
      <c r="L140" s="29"/>
      <c r="M140" s="29"/>
      <c r="N140" s="29"/>
      <c r="O140" s="29"/>
      <c r="P140" s="29"/>
      <c r="Q140" s="29"/>
      <c r="R140" s="29"/>
      <c r="S140" s="29"/>
    </row>
    <row r="141" spans="1:19" ht="12">
      <c r="A141" s="234"/>
      <c r="B141" s="29"/>
      <c r="C141" s="29"/>
      <c r="D141" s="29"/>
      <c r="E141" s="198"/>
      <c r="F141" s="29"/>
      <c r="G141" s="29"/>
      <c r="H141" s="29"/>
      <c r="I141" s="235"/>
      <c r="J141" s="236"/>
      <c r="K141" s="218"/>
      <c r="L141" s="29"/>
      <c r="M141" s="29"/>
      <c r="N141" s="29"/>
      <c r="O141" s="29"/>
      <c r="P141" s="29"/>
      <c r="Q141" s="29"/>
      <c r="R141" s="29"/>
      <c r="S141" s="29"/>
    </row>
    <row r="142" spans="1:19" ht="12">
      <c r="A142" s="234"/>
      <c r="B142" s="29"/>
      <c r="C142" s="29"/>
      <c r="D142" s="29"/>
      <c r="E142" s="198"/>
      <c r="F142" s="29"/>
      <c r="G142" s="29"/>
      <c r="H142" s="29"/>
      <c r="I142" s="235"/>
      <c r="J142" s="236"/>
      <c r="K142" s="218"/>
      <c r="L142" s="29"/>
      <c r="M142" s="29"/>
      <c r="N142" s="29"/>
      <c r="O142" s="29"/>
      <c r="P142" s="29"/>
      <c r="Q142" s="29"/>
      <c r="R142" s="29"/>
      <c r="S142" s="29"/>
    </row>
    <row r="143" spans="1:19" ht="12">
      <c r="A143" s="234"/>
      <c r="B143" s="29"/>
      <c r="C143" s="29"/>
      <c r="D143" s="29"/>
      <c r="E143" s="198"/>
      <c r="F143" s="29"/>
      <c r="G143" s="29"/>
      <c r="H143" s="29"/>
      <c r="I143" s="235"/>
      <c r="J143" s="236"/>
      <c r="K143" s="218"/>
      <c r="L143" s="29"/>
      <c r="M143" s="29"/>
      <c r="N143" s="29"/>
      <c r="O143" s="29"/>
      <c r="P143" s="29"/>
      <c r="Q143" s="29"/>
      <c r="R143" s="29"/>
      <c r="S143" s="29"/>
    </row>
    <row r="144" spans="1:19" ht="12">
      <c r="A144" s="234"/>
      <c r="B144" s="29"/>
      <c r="C144" s="29"/>
      <c r="D144" s="29"/>
      <c r="E144" s="198"/>
      <c r="F144" s="29"/>
      <c r="G144" s="29"/>
      <c r="H144" s="29"/>
      <c r="I144" s="235"/>
      <c r="J144" s="236"/>
      <c r="K144" s="218"/>
      <c r="L144" s="29"/>
      <c r="M144" s="29"/>
      <c r="N144" s="29"/>
      <c r="O144" s="29"/>
      <c r="P144" s="29"/>
      <c r="Q144" s="29"/>
      <c r="R144" s="29"/>
      <c r="S144" s="29"/>
    </row>
    <row r="145" spans="1:19" ht="12">
      <c r="A145" s="234"/>
      <c r="B145" s="29"/>
      <c r="C145" s="29"/>
      <c r="D145" s="29"/>
      <c r="E145" s="198"/>
      <c r="F145" s="29"/>
      <c r="G145" s="29"/>
      <c r="H145" s="29"/>
      <c r="I145" s="235"/>
      <c r="J145" s="236"/>
      <c r="K145" s="218"/>
      <c r="L145" s="29"/>
      <c r="M145" s="29"/>
      <c r="N145" s="29"/>
      <c r="O145" s="29"/>
      <c r="P145" s="29"/>
      <c r="Q145" s="29"/>
      <c r="R145" s="29"/>
      <c r="S145" s="29"/>
    </row>
    <row r="146" spans="1:19" ht="12">
      <c r="A146" s="234"/>
      <c r="B146" s="29"/>
      <c r="C146" s="29"/>
      <c r="D146" s="29"/>
      <c r="E146" s="198"/>
      <c r="F146" s="29"/>
      <c r="G146" s="29"/>
      <c r="H146" s="29"/>
      <c r="I146" s="235"/>
      <c r="J146" s="236"/>
      <c r="K146" s="218"/>
      <c r="L146" s="29"/>
      <c r="M146" s="29"/>
      <c r="N146" s="29"/>
      <c r="O146" s="29"/>
      <c r="P146" s="29"/>
      <c r="Q146" s="29"/>
      <c r="R146" s="29"/>
      <c r="S146" s="29"/>
    </row>
    <row r="147" spans="1:19" ht="12">
      <c r="A147" s="234"/>
      <c r="B147" s="29"/>
      <c r="C147" s="29"/>
      <c r="D147" s="29"/>
      <c r="E147" s="198"/>
      <c r="F147" s="29"/>
      <c r="G147" s="29"/>
      <c r="H147" s="29"/>
      <c r="I147" s="235"/>
      <c r="J147" s="236"/>
      <c r="K147" s="218"/>
      <c r="L147" s="29"/>
      <c r="M147" s="29"/>
      <c r="N147" s="29"/>
      <c r="O147" s="29"/>
      <c r="P147" s="29"/>
      <c r="Q147" s="29"/>
      <c r="R147" s="29"/>
      <c r="S147" s="29"/>
    </row>
    <row r="148" spans="1:19" ht="12">
      <c r="A148" s="234"/>
      <c r="B148" s="29"/>
      <c r="C148" s="29"/>
      <c r="D148" s="29"/>
      <c r="E148" s="198"/>
      <c r="F148" s="29"/>
      <c r="G148" s="29"/>
      <c r="H148" s="29"/>
      <c r="I148" s="235"/>
      <c r="J148" s="236"/>
      <c r="K148" s="218"/>
      <c r="L148" s="29"/>
      <c r="M148" s="29"/>
      <c r="N148" s="29"/>
      <c r="O148" s="29"/>
      <c r="P148" s="29"/>
      <c r="Q148" s="29"/>
      <c r="R148" s="29"/>
      <c r="S148" s="29"/>
    </row>
    <row r="149" spans="1:19" ht="12">
      <c r="A149" s="234"/>
      <c r="B149" s="29"/>
      <c r="C149" s="29"/>
      <c r="D149" s="29"/>
      <c r="E149" s="198"/>
      <c r="F149" s="29"/>
      <c r="G149" s="29"/>
      <c r="H149" s="29"/>
      <c r="I149" s="235"/>
      <c r="J149" s="236"/>
      <c r="K149" s="218"/>
      <c r="L149" s="29"/>
      <c r="M149" s="29"/>
      <c r="N149" s="29"/>
      <c r="O149" s="29"/>
      <c r="P149" s="29"/>
      <c r="Q149" s="29"/>
      <c r="R149" s="29"/>
      <c r="S149" s="29"/>
    </row>
    <row r="150" spans="1:19" ht="12">
      <c r="A150" s="234"/>
      <c r="B150" s="29"/>
      <c r="C150" s="29"/>
      <c r="D150" s="29"/>
      <c r="E150" s="198"/>
      <c r="F150" s="29"/>
      <c r="G150" s="29"/>
      <c r="H150" s="29"/>
      <c r="I150" s="235"/>
      <c r="J150" s="236"/>
      <c r="K150" s="218"/>
      <c r="L150" s="29"/>
      <c r="M150" s="29"/>
      <c r="N150" s="29"/>
      <c r="O150" s="29"/>
      <c r="P150" s="29"/>
      <c r="Q150" s="29"/>
      <c r="R150" s="29"/>
      <c r="S150" s="29"/>
    </row>
    <row r="151" spans="1:19" ht="12">
      <c r="A151" s="234"/>
      <c r="B151" s="29"/>
      <c r="C151" s="29"/>
      <c r="D151" s="29"/>
      <c r="E151" s="198"/>
      <c r="F151" s="29"/>
      <c r="G151" s="29"/>
      <c r="H151" s="29"/>
      <c r="I151" s="235"/>
      <c r="J151" s="236"/>
      <c r="K151" s="218"/>
      <c r="L151" s="29"/>
      <c r="M151" s="29"/>
      <c r="N151" s="29"/>
      <c r="O151" s="29"/>
      <c r="P151" s="29"/>
      <c r="Q151" s="29"/>
      <c r="R151" s="29"/>
      <c r="S151" s="29"/>
    </row>
    <row r="152" spans="1:19" ht="12">
      <c r="A152" s="234"/>
      <c r="B152" s="29"/>
      <c r="C152" s="29"/>
      <c r="D152" s="29"/>
      <c r="E152" s="198"/>
      <c r="F152" s="29"/>
      <c r="G152" s="29"/>
      <c r="H152" s="29"/>
      <c r="I152" s="235"/>
      <c r="J152" s="236"/>
      <c r="K152" s="218"/>
      <c r="L152" s="29"/>
      <c r="M152" s="29"/>
      <c r="N152" s="29"/>
      <c r="O152" s="29"/>
      <c r="P152" s="29"/>
      <c r="Q152" s="29"/>
      <c r="R152" s="29"/>
      <c r="S152" s="29"/>
    </row>
    <row r="153" spans="1:19" ht="12">
      <c r="A153" s="234"/>
      <c r="B153" s="29"/>
      <c r="C153" s="29"/>
      <c r="D153" s="29"/>
      <c r="E153" s="198"/>
      <c r="F153" s="29"/>
      <c r="G153" s="29"/>
      <c r="H153" s="29"/>
      <c r="I153" s="235"/>
      <c r="J153" s="236"/>
      <c r="K153" s="218"/>
      <c r="L153" s="29"/>
      <c r="M153" s="29"/>
      <c r="N153" s="29"/>
      <c r="O153" s="29"/>
      <c r="P153" s="29"/>
      <c r="Q153" s="29"/>
      <c r="R153" s="29"/>
      <c r="S153" s="29"/>
    </row>
    <row r="154" spans="1:19" ht="12">
      <c r="A154" s="234"/>
      <c r="B154" s="29"/>
      <c r="C154" s="29"/>
      <c r="D154" s="29"/>
      <c r="E154" s="198"/>
      <c r="F154" s="29"/>
      <c r="G154" s="29"/>
      <c r="H154" s="29"/>
      <c r="I154" s="235"/>
      <c r="J154" s="236"/>
      <c r="K154" s="218"/>
      <c r="L154" s="29"/>
      <c r="M154" s="29"/>
      <c r="N154" s="29"/>
      <c r="O154" s="29"/>
      <c r="P154" s="29"/>
      <c r="Q154" s="29"/>
      <c r="R154" s="29"/>
      <c r="S154" s="29"/>
    </row>
    <row r="155" spans="1:19" ht="12">
      <c r="A155" s="234"/>
      <c r="B155" s="29"/>
      <c r="C155" s="29"/>
      <c r="D155" s="29"/>
      <c r="E155" s="198"/>
      <c r="F155" s="29"/>
      <c r="G155" s="29"/>
      <c r="H155" s="29"/>
      <c r="I155" s="235"/>
      <c r="J155" s="236"/>
      <c r="K155" s="218"/>
      <c r="L155" s="29"/>
      <c r="M155" s="29"/>
      <c r="N155" s="29"/>
      <c r="O155" s="29"/>
      <c r="P155" s="29"/>
      <c r="Q155" s="29"/>
      <c r="R155" s="29"/>
      <c r="S155" s="29"/>
    </row>
    <row r="156" spans="1:19" ht="12">
      <c r="A156" s="234"/>
      <c r="B156" s="29"/>
      <c r="C156" s="29"/>
      <c r="D156" s="29"/>
      <c r="E156" s="198"/>
      <c r="F156" s="29"/>
      <c r="G156" s="29"/>
      <c r="H156" s="29"/>
      <c r="I156" s="235"/>
      <c r="J156" s="236"/>
      <c r="K156" s="218"/>
      <c r="L156" s="29"/>
      <c r="M156" s="29"/>
      <c r="N156" s="29"/>
      <c r="O156" s="29"/>
      <c r="P156" s="29"/>
      <c r="Q156" s="29"/>
      <c r="R156" s="29"/>
      <c r="S156" s="29"/>
    </row>
    <row r="157" spans="1:19" ht="12">
      <c r="A157" s="234"/>
      <c r="B157" s="29"/>
      <c r="C157" s="29"/>
      <c r="D157" s="29"/>
      <c r="E157" s="198"/>
      <c r="F157" s="29"/>
      <c r="G157" s="29"/>
      <c r="H157" s="29"/>
      <c r="I157" s="235"/>
      <c r="J157" s="236"/>
      <c r="K157" s="218"/>
      <c r="L157" s="29"/>
      <c r="M157" s="29"/>
      <c r="N157" s="29"/>
      <c r="O157" s="29"/>
      <c r="P157" s="29"/>
      <c r="Q157" s="29"/>
      <c r="R157" s="29"/>
      <c r="S157" s="29"/>
    </row>
    <row r="158" spans="1:19" ht="12">
      <c r="A158" s="234"/>
      <c r="B158" s="29"/>
      <c r="C158" s="29"/>
      <c r="D158" s="29"/>
      <c r="E158" s="198"/>
      <c r="F158" s="29"/>
      <c r="G158" s="29"/>
      <c r="H158" s="29"/>
      <c r="I158" s="235"/>
      <c r="J158" s="236"/>
      <c r="K158" s="218"/>
      <c r="L158" s="29"/>
      <c r="M158" s="29"/>
      <c r="N158" s="29"/>
      <c r="O158" s="29"/>
      <c r="P158" s="29"/>
      <c r="Q158" s="29"/>
      <c r="R158" s="29"/>
      <c r="S158" s="29"/>
    </row>
    <row r="159" spans="1:19" ht="12">
      <c r="A159" s="234"/>
      <c r="B159" s="29"/>
      <c r="C159" s="29"/>
      <c r="D159" s="29"/>
      <c r="E159" s="198"/>
      <c r="F159" s="29"/>
      <c r="G159" s="29"/>
      <c r="H159" s="29"/>
      <c r="I159" s="235"/>
      <c r="J159" s="236"/>
      <c r="K159" s="218"/>
      <c r="L159" s="29"/>
      <c r="M159" s="29"/>
      <c r="N159" s="29"/>
      <c r="O159" s="29"/>
      <c r="P159" s="29"/>
      <c r="Q159" s="29"/>
      <c r="R159" s="29"/>
      <c r="S159" s="29"/>
    </row>
    <row r="160" spans="1:19" ht="12">
      <c r="A160" s="234"/>
      <c r="B160" s="29"/>
      <c r="C160" s="29"/>
      <c r="D160" s="29"/>
      <c r="E160" s="198"/>
      <c r="F160" s="29"/>
      <c r="G160" s="29"/>
      <c r="H160" s="29"/>
      <c r="I160" s="235"/>
      <c r="J160" s="236"/>
      <c r="K160" s="218"/>
      <c r="L160" s="29"/>
      <c r="M160" s="29"/>
      <c r="N160" s="29"/>
      <c r="O160" s="29"/>
      <c r="P160" s="29"/>
      <c r="Q160" s="29"/>
      <c r="R160" s="29"/>
      <c r="S160" s="29"/>
    </row>
    <row r="161" spans="1:19" ht="12">
      <c r="A161" s="234"/>
      <c r="B161" s="29"/>
      <c r="C161" s="29"/>
      <c r="D161" s="29"/>
      <c r="E161" s="198"/>
      <c r="F161" s="29"/>
      <c r="G161" s="29"/>
      <c r="H161" s="29"/>
      <c r="I161" s="235"/>
      <c r="J161" s="236"/>
      <c r="K161" s="218"/>
      <c r="L161" s="29"/>
      <c r="M161" s="29"/>
      <c r="N161" s="29"/>
      <c r="O161" s="29"/>
      <c r="P161" s="29"/>
      <c r="Q161" s="29"/>
      <c r="R161" s="29"/>
      <c r="S161" s="29"/>
    </row>
    <row r="162" spans="1:19" ht="12">
      <c r="A162" s="234"/>
      <c r="B162" s="29"/>
      <c r="C162" s="29"/>
      <c r="D162" s="29"/>
      <c r="E162" s="198"/>
      <c r="F162" s="29"/>
      <c r="G162" s="29"/>
      <c r="H162" s="29"/>
      <c r="I162" s="235"/>
      <c r="J162" s="236"/>
      <c r="K162" s="218"/>
      <c r="L162" s="29"/>
      <c r="M162" s="29"/>
      <c r="N162" s="29"/>
      <c r="O162" s="29"/>
      <c r="P162" s="29"/>
      <c r="Q162" s="29"/>
      <c r="R162" s="29"/>
      <c r="S162" s="29"/>
    </row>
    <row r="163" spans="1:19" ht="12">
      <c r="A163" s="234"/>
      <c r="B163" s="29"/>
      <c r="C163" s="29"/>
      <c r="D163" s="29"/>
      <c r="E163" s="198"/>
      <c r="F163" s="29"/>
      <c r="G163" s="29"/>
      <c r="H163" s="29"/>
      <c r="I163" s="235"/>
      <c r="J163" s="236"/>
      <c r="K163" s="218"/>
      <c r="L163" s="29"/>
      <c r="M163" s="29"/>
      <c r="N163" s="29"/>
      <c r="O163" s="29"/>
      <c r="P163" s="29"/>
      <c r="Q163" s="29"/>
      <c r="R163" s="29"/>
      <c r="S163" s="29"/>
    </row>
    <row r="164" spans="1:19" ht="12">
      <c r="A164" s="234"/>
      <c r="B164" s="29"/>
      <c r="C164" s="29"/>
      <c r="D164" s="29"/>
      <c r="E164" s="198"/>
      <c r="F164" s="29"/>
      <c r="G164" s="29"/>
      <c r="H164" s="29"/>
      <c r="I164" s="235"/>
      <c r="J164" s="236"/>
      <c r="K164" s="218"/>
      <c r="L164" s="29"/>
      <c r="M164" s="29"/>
      <c r="N164" s="29"/>
      <c r="O164" s="29"/>
      <c r="P164" s="29"/>
      <c r="Q164" s="29"/>
      <c r="R164" s="29"/>
      <c r="S164" s="29"/>
    </row>
    <row r="165" spans="1:19" ht="12">
      <c r="A165" s="234"/>
      <c r="B165" s="29"/>
      <c r="C165" s="29"/>
      <c r="D165" s="29"/>
      <c r="E165" s="198"/>
      <c r="F165" s="29"/>
      <c r="G165" s="29"/>
      <c r="H165" s="29"/>
      <c r="I165" s="235"/>
      <c r="J165" s="236"/>
      <c r="K165" s="218"/>
      <c r="L165" s="29"/>
      <c r="M165" s="29"/>
      <c r="N165" s="29"/>
      <c r="O165" s="29"/>
      <c r="P165" s="29"/>
      <c r="Q165" s="29"/>
      <c r="R165" s="29"/>
      <c r="S165" s="29"/>
    </row>
    <row r="166" spans="1:19" ht="12">
      <c r="A166" s="234"/>
      <c r="B166" s="29"/>
      <c r="C166" s="29"/>
      <c r="D166" s="29"/>
      <c r="E166" s="198"/>
      <c r="F166" s="29"/>
      <c r="G166" s="29"/>
      <c r="H166" s="29"/>
      <c r="I166" s="235"/>
      <c r="J166" s="236"/>
      <c r="K166" s="218"/>
      <c r="L166" s="29"/>
      <c r="M166" s="29"/>
      <c r="N166" s="29"/>
      <c r="O166" s="29"/>
      <c r="P166" s="29"/>
      <c r="Q166" s="29"/>
      <c r="R166" s="29"/>
      <c r="S166" s="29"/>
    </row>
    <row r="167" spans="1:19" ht="12">
      <c r="A167" s="234"/>
      <c r="B167" s="29"/>
      <c r="C167" s="29"/>
      <c r="D167" s="29"/>
      <c r="E167" s="198"/>
      <c r="F167" s="29"/>
      <c r="G167" s="29"/>
      <c r="H167" s="29"/>
      <c r="I167" s="235"/>
      <c r="J167" s="236"/>
      <c r="K167" s="218"/>
      <c r="L167" s="29"/>
      <c r="M167" s="29"/>
      <c r="N167" s="29"/>
      <c r="O167" s="29"/>
      <c r="P167" s="29"/>
      <c r="Q167" s="29"/>
      <c r="R167" s="29"/>
      <c r="S167" s="29"/>
    </row>
    <row r="168" spans="1:19" ht="12">
      <c r="A168" s="234"/>
      <c r="B168" s="29"/>
      <c r="C168" s="29"/>
      <c r="D168" s="29"/>
      <c r="E168" s="198"/>
      <c r="F168" s="29"/>
      <c r="G168" s="29"/>
      <c r="H168" s="29"/>
      <c r="I168" s="235"/>
      <c r="J168" s="236"/>
      <c r="K168" s="218"/>
      <c r="L168" s="29"/>
      <c r="M168" s="29"/>
      <c r="N168" s="29"/>
      <c r="O168" s="29"/>
      <c r="P168" s="29"/>
      <c r="Q168" s="29"/>
      <c r="R168" s="29"/>
      <c r="S168" s="29"/>
    </row>
    <row r="169" spans="1:19" ht="12">
      <c r="A169" s="234"/>
      <c r="B169" s="29"/>
      <c r="C169" s="29"/>
      <c r="D169" s="29"/>
      <c r="E169" s="198"/>
      <c r="F169" s="29"/>
      <c r="G169" s="29"/>
      <c r="H169" s="29"/>
      <c r="I169" s="235"/>
      <c r="J169" s="236"/>
      <c r="K169" s="218"/>
      <c r="L169" s="29"/>
      <c r="M169" s="29"/>
      <c r="N169" s="29"/>
      <c r="O169" s="29"/>
      <c r="P169" s="29"/>
      <c r="Q169" s="29"/>
      <c r="R169" s="29"/>
      <c r="S169" s="29"/>
    </row>
    <row r="170" spans="1:19" ht="12">
      <c r="A170" s="234"/>
      <c r="B170" s="29"/>
      <c r="C170" s="29"/>
      <c r="D170" s="29"/>
      <c r="E170" s="198"/>
      <c r="F170" s="29"/>
      <c r="G170" s="29"/>
      <c r="H170" s="29"/>
      <c r="I170" s="235"/>
      <c r="J170" s="236"/>
      <c r="K170" s="218"/>
      <c r="L170" s="29"/>
      <c r="M170" s="29"/>
      <c r="N170" s="29"/>
      <c r="O170" s="29"/>
      <c r="P170" s="29"/>
      <c r="Q170" s="29"/>
      <c r="R170" s="29"/>
      <c r="S170" s="29"/>
    </row>
    <row r="171" spans="1:19" ht="12">
      <c r="A171" s="234"/>
      <c r="B171" s="29"/>
      <c r="C171" s="29"/>
      <c r="D171" s="29"/>
      <c r="E171" s="198"/>
      <c r="F171" s="29"/>
      <c r="G171" s="29"/>
      <c r="H171" s="29"/>
      <c r="I171" s="235"/>
      <c r="J171" s="236"/>
      <c r="K171" s="218"/>
      <c r="L171" s="29"/>
      <c r="M171" s="29"/>
      <c r="N171" s="29"/>
      <c r="O171" s="29"/>
      <c r="P171" s="29"/>
      <c r="Q171" s="29"/>
      <c r="R171" s="29"/>
      <c r="S171" s="29"/>
    </row>
    <row r="172" spans="1:19" ht="12">
      <c r="A172" s="234"/>
      <c r="B172" s="29"/>
      <c r="C172" s="29"/>
      <c r="D172" s="29"/>
      <c r="E172" s="198"/>
      <c r="F172" s="29"/>
      <c r="G172" s="29"/>
      <c r="H172" s="29"/>
      <c r="I172" s="235"/>
      <c r="J172" s="236"/>
      <c r="K172" s="218"/>
      <c r="L172" s="29"/>
      <c r="M172" s="29"/>
      <c r="N172" s="29"/>
      <c r="O172" s="29"/>
      <c r="P172" s="29"/>
      <c r="Q172" s="29"/>
      <c r="R172" s="29"/>
      <c r="S172" s="29"/>
    </row>
    <row r="173" spans="1:19" ht="12">
      <c r="A173" s="234"/>
      <c r="B173" s="29"/>
      <c r="C173" s="29"/>
      <c r="D173" s="29"/>
      <c r="E173" s="198"/>
      <c r="F173" s="29"/>
      <c r="G173" s="29"/>
      <c r="H173" s="29"/>
      <c r="I173" s="235"/>
      <c r="J173" s="236"/>
      <c r="K173" s="218"/>
      <c r="L173" s="29"/>
      <c r="M173" s="29"/>
      <c r="N173" s="29"/>
      <c r="O173" s="29"/>
      <c r="P173" s="29"/>
      <c r="Q173" s="29"/>
      <c r="R173" s="29"/>
      <c r="S173" s="29"/>
    </row>
    <row r="174" spans="1:19" ht="12">
      <c r="A174" s="234"/>
      <c r="B174" s="29"/>
      <c r="C174" s="29"/>
      <c r="D174" s="29"/>
      <c r="E174" s="198"/>
      <c r="F174" s="29"/>
      <c r="G174" s="29"/>
      <c r="H174" s="29"/>
      <c r="I174" s="235"/>
      <c r="J174" s="236"/>
      <c r="K174" s="218"/>
      <c r="L174" s="29"/>
      <c r="M174" s="29"/>
      <c r="N174" s="29"/>
      <c r="O174" s="29"/>
      <c r="P174" s="29"/>
      <c r="Q174" s="29"/>
      <c r="R174" s="29"/>
      <c r="S174" s="29"/>
    </row>
    <row r="175" spans="1:19" ht="12">
      <c r="A175" s="234"/>
      <c r="B175" s="29"/>
      <c r="C175" s="29"/>
      <c r="D175" s="29"/>
      <c r="E175" s="198"/>
      <c r="F175" s="29"/>
      <c r="G175" s="29"/>
      <c r="H175" s="29"/>
      <c r="I175" s="235"/>
      <c r="J175" s="236"/>
      <c r="K175" s="218"/>
      <c r="L175" s="29"/>
      <c r="M175" s="29"/>
      <c r="N175" s="29"/>
      <c r="O175" s="29"/>
      <c r="P175" s="29"/>
      <c r="Q175" s="29"/>
      <c r="R175" s="29"/>
      <c r="S175" s="29"/>
    </row>
    <row r="176" spans="1:19" ht="12">
      <c r="A176" s="234"/>
      <c r="B176" s="29"/>
      <c r="C176" s="29"/>
      <c r="D176" s="29"/>
      <c r="E176" s="198"/>
      <c r="F176" s="29"/>
      <c r="G176" s="29"/>
      <c r="H176" s="29"/>
      <c r="I176" s="235"/>
      <c r="J176" s="236"/>
      <c r="K176" s="218"/>
      <c r="L176" s="29"/>
      <c r="M176" s="29"/>
      <c r="N176" s="29"/>
      <c r="O176" s="29"/>
      <c r="P176" s="29"/>
      <c r="Q176" s="29"/>
      <c r="R176" s="29"/>
      <c r="S176" s="29"/>
    </row>
    <row r="177" spans="1:19" ht="12">
      <c r="A177" s="234"/>
      <c r="B177" s="29"/>
      <c r="C177" s="29"/>
      <c r="D177" s="29"/>
      <c r="E177" s="198"/>
      <c r="F177" s="29"/>
      <c r="G177" s="29"/>
      <c r="H177" s="29"/>
      <c r="I177" s="235"/>
      <c r="J177" s="236"/>
      <c r="K177" s="218"/>
      <c r="L177" s="29"/>
      <c r="M177" s="29"/>
      <c r="N177" s="29"/>
      <c r="O177" s="29"/>
      <c r="P177" s="29"/>
      <c r="Q177" s="29"/>
      <c r="R177" s="29"/>
      <c r="S177" s="29"/>
    </row>
    <row r="178" spans="1:19" ht="12">
      <c r="A178" s="234"/>
      <c r="B178" s="29"/>
      <c r="C178" s="29"/>
      <c r="D178" s="29"/>
      <c r="E178" s="198"/>
      <c r="F178" s="29"/>
      <c r="G178" s="29"/>
      <c r="H178" s="29"/>
      <c r="I178" s="235"/>
      <c r="J178" s="236"/>
      <c r="K178" s="218"/>
      <c r="L178" s="29"/>
      <c r="M178" s="29"/>
      <c r="N178" s="29"/>
      <c r="O178" s="29"/>
      <c r="P178" s="29"/>
      <c r="Q178" s="29"/>
      <c r="R178" s="29"/>
      <c r="S178" s="29"/>
    </row>
    <row r="179" spans="1:19" ht="12">
      <c r="A179" s="234"/>
      <c r="B179" s="29"/>
      <c r="C179" s="29"/>
      <c r="D179" s="29"/>
      <c r="E179" s="198"/>
      <c r="F179" s="29"/>
      <c r="G179" s="29"/>
      <c r="H179" s="29"/>
      <c r="I179" s="235"/>
      <c r="J179" s="236"/>
      <c r="K179" s="218"/>
      <c r="L179" s="29"/>
      <c r="M179" s="29"/>
      <c r="N179" s="29"/>
      <c r="O179" s="29"/>
      <c r="P179" s="29"/>
      <c r="Q179" s="29"/>
      <c r="R179" s="29"/>
      <c r="S179" s="29"/>
    </row>
    <row r="180" spans="1:19" ht="12">
      <c r="A180" s="234"/>
      <c r="B180" s="29"/>
      <c r="C180" s="29"/>
      <c r="D180" s="29"/>
      <c r="E180" s="198"/>
      <c r="F180" s="29"/>
      <c r="G180" s="29"/>
      <c r="H180" s="29"/>
      <c r="I180" s="235"/>
      <c r="J180" s="236"/>
      <c r="K180" s="218"/>
      <c r="L180" s="29"/>
      <c r="M180" s="29"/>
      <c r="N180" s="29"/>
      <c r="O180" s="29"/>
      <c r="P180" s="29"/>
      <c r="Q180" s="29"/>
      <c r="R180" s="29"/>
      <c r="S180" s="29"/>
    </row>
    <row r="181" spans="1:19" ht="12">
      <c r="A181" s="234"/>
      <c r="B181" s="29"/>
      <c r="C181" s="29"/>
      <c r="D181" s="29"/>
      <c r="E181" s="198"/>
      <c r="F181" s="29"/>
      <c r="G181" s="29"/>
      <c r="H181" s="29"/>
      <c r="I181" s="235"/>
      <c r="J181" s="236"/>
      <c r="K181" s="218"/>
      <c r="L181" s="29"/>
      <c r="M181" s="29"/>
      <c r="N181" s="29"/>
      <c r="O181" s="29"/>
      <c r="P181" s="29"/>
      <c r="Q181" s="29"/>
      <c r="R181" s="29"/>
      <c r="S181" s="29"/>
    </row>
    <row r="182" spans="1:19" ht="12">
      <c r="A182" s="234"/>
      <c r="B182" s="29"/>
      <c r="C182" s="29"/>
      <c r="D182" s="29"/>
      <c r="E182" s="198"/>
      <c r="F182" s="29"/>
      <c r="G182" s="29"/>
      <c r="H182" s="29"/>
      <c r="I182" s="235"/>
      <c r="J182" s="236"/>
      <c r="K182" s="218"/>
      <c r="L182" s="29"/>
      <c r="M182" s="29"/>
      <c r="N182" s="29"/>
      <c r="O182" s="29"/>
      <c r="P182" s="29"/>
      <c r="Q182" s="29"/>
      <c r="R182" s="29"/>
      <c r="S182" s="29"/>
    </row>
    <row r="183" spans="1:19" ht="12">
      <c r="A183" s="234"/>
      <c r="B183" s="29"/>
      <c r="C183" s="29"/>
      <c r="D183" s="29"/>
      <c r="E183" s="198"/>
      <c r="F183" s="29"/>
      <c r="G183" s="29"/>
      <c r="H183" s="29"/>
      <c r="I183" s="235"/>
      <c r="J183" s="236"/>
      <c r="K183" s="218"/>
      <c r="L183" s="29"/>
      <c r="M183" s="29"/>
      <c r="N183" s="29"/>
      <c r="O183" s="29"/>
      <c r="P183" s="29"/>
      <c r="Q183" s="29"/>
      <c r="R183" s="29"/>
      <c r="S183" s="29"/>
    </row>
    <row r="184" spans="1:19" ht="12">
      <c r="A184" s="234"/>
      <c r="B184" s="29"/>
      <c r="C184" s="29"/>
      <c r="D184" s="29"/>
      <c r="E184" s="198"/>
      <c r="F184" s="29"/>
      <c r="G184" s="29"/>
      <c r="H184" s="29"/>
      <c r="I184" s="235"/>
      <c r="J184" s="236"/>
      <c r="K184" s="218"/>
      <c r="L184" s="237"/>
      <c r="M184" s="237"/>
      <c r="N184" s="29"/>
      <c r="O184" s="29"/>
      <c r="P184" s="29"/>
      <c r="Q184" s="29"/>
      <c r="R184" s="29"/>
      <c r="S184" s="29"/>
    </row>
    <row r="185" spans="1:19" ht="12">
      <c r="A185" s="234"/>
      <c r="B185" s="29"/>
      <c r="C185" s="29"/>
      <c r="D185" s="29"/>
      <c r="E185" s="198"/>
      <c r="F185" s="29"/>
      <c r="G185" s="29"/>
      <c r="H185" s="29"/>
      <c r="I185" s="235"/>
      <c r="J185" s="236"/>
      <c r="K185" s="218"/>
      <c r="L185" s="29"/>
      <c r="M185" s="29"/>
      <c r="N185" s="29"/>
      <c r="O185" s="29"/>
      <c r="P185" s="29"/>
      <c r="Q185" s="29"/>
      <c r="R185" s="29"/>
      <c r="S185" s="29"/>
    </row>
    <row r="186" spans="1:19" ht="12">
      <c r="A186" s="234"/>
      <c r="B186" s="29"/>
      <c r="C186" s="29"/>
      <c r="D186" s="29"/>
      <c r="E186" s="198"/>
      <c r="F186" s="29"/>
      <c r="G186" s="29"/>
      <c r="H186" s="29"/>
      <c r="I186" s="235"/>
      <c r="J186" s="236"/>
      <c r="K186" s="218"/>
      <c r="L186" s="29"/>
      <c r="M186" s="29"/>
      <c r="N186" s="29"/>
      <c r="O186" s="29"/>
      <c r="P186" s="29"/>
      <c r="Q186" s="29"/>
      <c r="R186" s="29"/>
      <c r="S186" s="29"/>
    </row>
    <row r="187" spans="1:19" ht="12">
      <c r="A187" s="234"/>
      <c r="B187" s="29"/>
      <c r="C187" s="29"/>
      <c r="D187" s="29"/>
      <c r="E187" s="198"/>
      <c r="F187" s="29"/>
      <c r="G187" s="29"/>
      <c r="H187" s="29"/>
      <c r="I187" s="235"/>
      <c r="J187" s="236"/>
      <c r="K187" s="218"/>
      <c r="L187" s="29"/>
      <c r="M187" s="29"/>
      <c r="N187" s="29"/>
      <c r="O187" s="29"/>
      <c r="P187" s="29"/>
      <c r="Q187" s="29"/>
      <c r="R187" s="29"/>
      <c r="S187" s="29"/>
    </row>
    <row r="188" spans="1:19" ht="12">
      <c r="A188" s="234"/>
      <c r="B188" s="29"/>
      <c r="C188" s="29"/>
      <c r="D188" s="29"/>
      <c r="E188" s="198"/>
      <c r="F188" s="29"/>
      <c r="G188" s="29"/>
      <c r="H188" s="29"/>
      <c r="I188" s="235"/>
      <c r="J188" s="236"/>
      <c r="K188" s="218"/>
      <c r="L188" s="29"/>
      <c r="M188" s="29"/>
      <c r="N188" s="29"/>
      <c r="O188" s="29"/>
      <c r="P188" s="29"/>
      <c r="Q188" s="29"/>
      <c r="R188" s="29"/>
      <c r="S188" s="29"/>
    </row>
    <row r="189" spans="1:19" ht="12">
      <c r="A189" s="234"/>
      <c r="B189" s="29"/>
      <c r="C189" s="29"/>
      <c r="D189" s="29"/>
      <c r="E189" s="198"/>
      <c r="F189" s="29"/>
      <c r="G189" s="29"/>
      <c r="H189" s="29"/>
      <c r="I189" s="235"/>
      <c r="J189" s="236"/>
      <c r="K189" s="218"/>
      <c r="L189" s="29"/>
      <c r="M189" s="29"/>
      <c r="N189" s="29"/>
      <c r="O189" s="29"/>
      <c r="P189" s="29"/>
      <c r="Q189" s="29"/>
      <c r="R189" s="29"/>
      <c r="S189" s="29"/>
    </row>
    <row r="190" spans="1:19" ht="12">
      <c r="A190" s="234"/>
      <c r="B190" s="29"/>
      <c r="C190" s="29"/>
      <c r="D190" s="29"/>
      <c r="E190" s="198"/>
      <c r="F190" s="29"/>
      <c r="G190" s="29"/>
      <c r="H190" s="29"/>
      <c r="I190" s="235"/>
      <c r="J190" s="236"/>
      <c r="K190" s="218"/>
      <c r="L190" s="29"/>
      <c r="M190" s="29"/>
      <c r="N190" s="29"/>
      <c r="O190" s="29"/>
      <c r="P190" s="29"/>
      <c r="Q190" s="29"/>
      <c r="R190" s="29"/>
      <c r="S190" s="29"/>
    </row>
    <row r="191" spans="1:19" ht="12">
      <c r="A191" s="234"/>
      <c r="B191" s="29"/>
      <c r="C191" s="29"/>
      <c r="D191" s="29"/>
      <c r="E191" s="198"/>
      <c r="F191" s="29"/>
      <c r="G191" s="29"/>
      <c r="H191" s="29"/>
      <c r="I191" s="235"/>
      <c r="J191" s="236"/>
      <c r="K191" s="218"/>
      <c r="L191" s="29"/>
      <c r="M191" s="29"/>
      <c r="N191" s="29"/>
      <c r="O191" s="29"/>
      <c r="P191" s="29"/>
      <c r="Q191" s="29"/>
      <c r="R191" s="29"/>
      <c r="S191" s="29"/>
    </row>
    <row r="192" spans="1:19" ht="12">
      <c r="A192" s="234"/>
      <c r="B192" s="29"/>
      <c r="C192" s="29"/>
      <c r="D192" s="29"/>
      <c r="E192" s="198"/>
      <c r="F192" s="29"/>
      <c r="G192" s="29"/>
      <c r="H192" s="29"/>
      <c r="I192" s="235"/>
      <c r="J192" s="236"/>
      <c r="K192" s="218"/>
      <c r="L192" s="29"/>
      <c r="M192" s="29"/>
      <c r="N192" s="29"/>
      <c r="O192" s="29"/>
      <c r="P192" s="29"/>
      <c r="Q192" s="29"/>
      <c r="R192" s="29"/>
      <c r="S192" s="29"/>
    </row>
    <row r="193" spans="1:19" ht="12">
      <c r="A193" s="234"/>
      <c r="B193" s="29"/>
      <c r="C193" s="29"/>
      <c r="D193" s="237"/>
      <c r="E193" s="238"/>
      <c r="F193" s="237"/>
      <c r="G193" s="237"/>
      <c r="H193" s="237"/>
      <c r="I193" s="239"/>
      <c r="J193" s="240"/>
      <c r="K193" s="218"/>
      <c r="L193" s="29"/>
      <c r="M193" s="29"/>
      <c r="N193" s="29"/>
      <c r="O193" s="29"/>
      <c r="P193" s="29"/>
      <c r="Q193" s="29"/>
      <c r="R193" s="29"/>
      <c r="S193" s="29"/>
    </row>
    <row r="194" spans="1:19" ht="12">
      <c r="A194" s="234"/>
      <c r="B194" s="29"/>
      <c r="C194" s="29"/>
      <c r="D194" s="29"/>
      <c r="E194" s="198"/>
      <c r="F194" s="29"/>
      <c r="G194" s="29"/>
      <c r="H194" s="29"/>
      <c r="I194" s="235"/>
      <c r="J194" s="236"/>
      <c r="K194" s="218"/>
      <c r="L194" s="29"/>
      <c r="M194" s="29"/>
      <c r="N194" s="29"/>
      <c r="O194" s="29"/>
      <c r="P194" s="29"/>
      <c r="Q194" s="29"/>
      <c r="R194" s="29"/>
      <c r="S194" s="29"/>
    </row>
    <row r="195" spans="1:19" ht="12">
      <c r="A195" s="234"/>
      <c r="B195" s="29"/>
      <c r="C195" s="29"/>
      <c r="D195" s="29"/>
      <c r="E195" s="198"/>
      <c r="F195" s="29"/>
      <c r="G195" s="29"/>
      <c r="H195" s="29"/>
      <c r="I195" s="235"/>
      <c r="J195" s="236"/>
      <c r="K195" s="218"/>
      <c r="L195" s="29"/>
      <c r="M195" s="29"/>
      <c r="N195" s="29"/>
      <c r="O195" s="29"/>
      <c r="P195" s="29"/>
      <c r="Q195" s="29"/>
      <c r="R195" s="29"/>
      <c r="S195" s="29"/>
    </row>
    <row r="196" spans="1:19" ht="12">
      <c r="A196" s="234"/>
      <c r="B196" s="29"/>
      <c r="C196" s="29"/>
      <c r="D196" s="29"/>
      <c r="E196" s="198"/>
      <c r="F196" s="29"/>
      <c r="G196" s="29"/>
      <c r="H196" s="29"/>
      <c r="I196" s="235"/>
      <c r="J196" s="236"/>
      <c r="K196" s="218"/>
      <c r="L196" s="29"/>
      <c r="M196" s="29"/>
      <c r="N196" s="29"/>
      <c r="O196" s="29"/>
      <c r="P196" s="29"/>
      <c r="Q196" s="29"/>
      <c r="R196" s="29"/>
      <c r="S196" s="29"/>
    </row>
    <row r="197" spans="1:19" ht="12">
      <c r="A197" s="234"/>
      <c r="B197" s="29"/>
      <c r="C197" s="29"/>
      <c r="D197" s="29"/>
      <c r="E197" s="198"/>
      <c r="F197" s="29"/>
      <c r="G197" s="29"/>
      <c r="H197" s="29"/>
      <c r="I197" s="235"/>
      <c r="J197" s="236"/>
      <c r="K197" s="218"/>
      <c r="L197" s="29"/>
      <c r="M197" s="29"/>
      <c r="N197" s="29"/>
      <c r="O197" s="29"/>
      <c r="P197" s="29"/>
      <c r="Q197" s="29"/>
      <c r="R197" s="29"/>
      <c r="S197" s="29"/>
    </row>
    <row r="198" spans="1:19" ht="12">
      <c r="A198" s="234"/>
      <c r="B198" s="29"/>
      <c r="C198" s="29"/>
      <c r="D198" s="29"/>
      <c r="E198" s="198"/>
      <c r="F198" s="29"/>
      <c r="G198" s="29"/>
      <c r="H198" s="29"/>
      <c r="I198" s="235"/>
      <c r="J198" s="236"/>
      <c r="K198" s="218"/>
      <c r="L198" s="29"/>
      <c r="M198" s="29"/>
      <c r="N198" s="29"/>
      <c r="O198" s="29"/>
      <c r="P198" s="29"/>
      <c r="Q198" s="29"/>
      <c r="R198" s="29"/>
      <c r="S198" s="29"/>
    </row>
    <row r="199" spans="1:19" ht="12">
      <c r="A199" s="234"/>
      <c r="B199" s="29"/>
      <c r="C199" s="29"/>
      <c r="D199" s="29"/>
      <c r="E199" s="198"/>
      <c r="F199" s="29"/>
      <c r="G199" s="29"/>
      <c r="H199" s="29"/>
      <c r="I199" s="235"/>
      <c r="J199" s="236"/>
      <c r="K199" s="218"/>
      <c r="L199" s="29"/>
      <c r="M199" s="29"/>
      <c r="N199" s="29"/>
      <c r="O199" s="29"/>
      <c r="P199" s="29"/>
      <c r="Q199" s="29"/>
      <c r="R199" s="29"/>
      <c r="S199" s="29"/>
    </row>
    <row r="200" spans="1:19" ht="12">
      <c r="A200" s="234"/>
      <c r="B200" s="29"/>
      <c r="C200" s="29"/>
      <c r="D200" s="29"/>
      <c r="E200" s="198"/>
      <c r="F200" s="29"/>
      <c r="G200" s="29"/>
      <c r="H200" s="29"/>
      <c r="I200" s="235"/>
      <c r="J200" s="236"/>
      <c r="K200" s="218"/>
      <c r="L200" s="29"/>
      <c r="M200" s="29"/>
      <c r="N200" s="29"/>
      <c r="O200" s="29"/>
      <c r="P200" s="29"/>
      <c r="Q200" s="29"/>
      <c r="R200" s="29"/>
      <c r="S200" s="29"/>
    </row>
    <row r="201" spans="1:19" ht="12">
      <c r="A201" s="234"/>
      <c r="B201" s="29"/>
      <c r="C201" s="29"/>
      <c r="D201" s="29"/>
      <c r="E201" s="198"/>
      <c r="F201" s="29"/>
      <c r="G201" s="29"/>
      <c r="H201" s="29"/>
      <c r="I201" s="235"/>
      <c r="J201" s="236"/>
      <c r="K201" s="218"/>
      <c r="L201" s="29"/>
      <c r="M201" s="29"/>
      <c r="N201" s="29"/>
      <c r="O201" s="29"/>
      <c r="P201" s="29"/>
      <c r="Q201" s="29"/>
      <c r="R201" s="29"/>
      <c r="S201" s="29"/>
    </row>
    <row r="202" spans="1:19" ht="12">
      <c r="A202" s="234"/>
      <c r="B202" s="29"/>
      <c r="C202" s="29"/>
      <c r="D202" s="29"/>
      <c r="E202" s="198"/>
      <c r="F202" s="29"/>
      <c r="G202" s="29"/>
      <c r="H202" s="29"/>
      <c r="I202" s="235"/>
      <c r="J202" s="236"/>
      <c r="K202" s="218"/>
      <c r="L202" s="29"/>
      <c r="M202" s="29"/>
      <c r="N202" s="29"/>
      <c r="O202" s="29"/>
      <c r="P202" s="29"/>
      <c r="Q202" s="29"/>
      <c r="R202" s="29"/>
      <c r="S202" s="29"/>
    </row>
    <row r="203" spans="1:19" ht="12">
      <c r="A203" s="234"/>
      <c r="B203" s="29"/>
      <c r="C203" s="29"/>
      <c r="D203" s="29"/>
      <c r="E203" s="198"/>
      <c r="F203" s="29"/>
      <c r="G203" s="29"/>
      <c r="H203" s="29"/>
      <c r="I203" s="235"/>
      <c r="J203" s="236"/>
      <c r="K203" s="218"/>
      <c r="L203" s="29"/>
      <c r="M203" s="29"/>
      <c r="N203" s="29"/>
      <c r="O203" s="29"/>
      <c r="P203" s="29"/>
      <c r="Q203" s="29"/>
      <c r="R203" s="29"/>
      <c r="S203" s="29"/>
    </row>
    <row r="204" spans="1:19" ht="12">
      <c r="A204" s="234"/>
      <c r="B204" s="29"/>
      <c r="C204" s="29"/>
      <c r="D204" s="29"/>
      <c r="E204" s="198"/>
      <c r="F204" s="29"/>
      <c r="G204" s="29"/>
      <c r="H204" s="29"/>
      <c r="I204" s="235"/>
      <c r="J204" s="236"/>
      <c r="K204" s="218"/>
      <c r="L204" s="29"/>
      <c r="M204" s="29"/>
      <c r="N204" s="29"/>
      <c r="O204" s="29"/>
      <c r="P204" s="29"/>
      <c r="Q204" s="29"/>
      <c r="R204" s="29"/>
      <c r="S204" s="29"/>
    </row>
    <row r="205" spans="1:19" ht="12">
      <c r="A205" s="234"/>
      <c r="B205" s="29"/>
      <c r="C205" s="29"/>
      <c r="D205" s="29"/>
      <c r="E205" s="198"/>
      <c r="F205" s="29"/>
      <c r="G205" s="29"/>
      <c r="H205" s="29"/>
      <c r="I205" s="235"/>
      <c r="J205" s="236"/>
      <c r="K205" s="218"/>
      <c r="L205" s="237"/>
      <c r="M205" s="237"/>
      <c r="N205" s="29"/>
      <c r="O205" s="29"/>
      <c r="P205" s="29"/>
      <c r="Q205" s="29"/>
      <c r="R205" s="29"/>
      <c r="S205" s="29"/>
    </row>
    <row r="206" spans="1:19" ht="12">
      <c r="A206" s="234"/>
      <c r="B206" s="29"/>
      <c r="C206" s="29"/>
      <c r="D206" s="29"/>
      <c r="E206" s="198"/>
      <c r="F206" s="29"/>
      <c r="G206" s="29"/>
      <c r="H206" s="29"/>
      <c r="I206" s="235"/>
      <c r="J206" s="236"/>
      <c r="K206" s="218"/>
      <c r="L206" s="29"/>
      <c r="M206" s="29"/>
      <c r="N206" s="29"/>
      <c r="O206" s="29"/>
      <c r="P206" s="29"/>
      <c r="Q206" s="29"/>
      <c r="R206" s="29"/>
      <c r="S206" s="29"/>
    </row>
    <row r="207" spans="1:19" ht="12">
      <c r="A207" s="234"/>
      <c r="B207" s="29"/>
      <c r="C207" s="29"/>
      <c r="D207" s="29"/>
      <c r="E207" s="198"/>
      <c r="F207" s="29"/>
      <c r="G207" s="29"/>
      <c r="H207" s="29"/>
      <c r="I207" s="235"/>
      <c r="J207" s="236"/>
      <c r="K207" s="218"/>
      <c r="L207" s="29"/>
      <c r="M207" s="29"/>
      <c r="N207" s="29"/>
      <c r="O207" s="29"/>
      <c r="P207" s="29"/>
      <c r="Q207" s="29"/>
      <c r="R207" s="29"/>
      <c r="S207" s="29"/>
    </row>
    <row r="208" spans="1:19" ht="12">
      <c r="A208" s="234"/>
      <c r="B208" s="29"/>
      <c r="C208" s="29"/>
      <c r="D208" s="29"/>
      <c r="E208" s="198"/>
      <c r="F208" s="29"/>
      <c r="G208" s="29"/>
      <c r="H208" s="29"/>
      <c r="I208" s="235"/>
      <c r="J208" s="236"/>
      <c r="K208" s="218"/>
      <c r="L208" s="29"/>
      <c r="M208" s="29"/>
      <c r="N208" s="29"/>
      <c r="O208" s="29"/>
      <c r="P208" s="29"/>
      <c r="Q208" s="29"/>
      <c r="R208" s="29"/>
      <c r="S208" s="29"/>
    </row>
    <row r="209" spans="1:19" ht="12">
      <c r="A209" s="234"/>
      <c r="B209" s="29"/>
      <c r="C209" s="29"/>
      <c r="D209" s="29"/>
      <c r="E209" s="198"/>
      <c r="F209" s="29"/>
      <c r="G209" s="29"/>
      <c r="H209" s="29"/>
      <c r="I209" s="235"/>
      <c r="J209" s="236"/>
      <c r="K209" s="218"/>
      <c r="L209" s="29"/>
      <c r="M209" s="29"/>
      <c r="N209" s="29"/>
      <c r="O209" s="29"/>
      <c r="P209" s="29"/>
      <c r="Q209" s="29"/>
      <c r="R209" s="29"/>
      <c r="S209" s="29"/>
    </row>
    <row r="210" spans="1:19" ht="12">
      <c r="A210" s="234"/>
      <c r="B210" s="29"/>
      <c r="C210" s="29"/>
      <c r="D210" s="29"/>
      <c r="E210" s="198"/>
      <c r="F210" s="29"/>
      <c r="G210" s="29"/>
      <c r="H210" s="29"/>
      <c r="I210" s="235"/>
      <c r="J210" s="236"/>
      <c r="K210" s="218"/>
      <c r="L210" s="29"/>
      <c r="M210" s="29"/>
      <c r="N210" s="29"/>
      <c r="O210" s="29"/>
      <c r="P210" s="29"/>
      <c r="Q210" s="29"/>
      <c r="R210" s="29"/>
      <c r="S210" s="29"/>
    </row>
    <row r="211" spans="1:19" ht="12">
      <c r="A211" s="234"/>
      <c r="B211" s="29"/>
      <c r="C211" s="29"/>
      <c r="D211" s="29"/>
      <c r="E211" s="198"/>
      <c r="F211" s="29"/>
      <c r="G211" s="29"/>
      <c r="H211" s="29"/>
      <c r="I211" s="235"/>
      <c r="J211" s="236"/>
      <c r="K211" s="218"/>
      <c r="L211" s="29"/>
      <c r="M211" s="29"/>
      <c r="N211" s="29"/>
      <c r="O211" s="29"/>
      <c r="P211" s="29"/>
      <c r="Q211" s="29"/>
      <c r="R211" s="29"/>
      <c r="S211" s="29"/>
    </row>
    <row r="212" spans="1:19" ht="12">
      <c r="A212" s="234"/>
      <c r="B212" s="29"/>
      <c r="C212" s="29"/>
      <c r="D212" s="29"/>
      <c r="E212" s="198"/>
      <c r="F212" s="29"/>
      <c r="G212" s="29"/>
      <c r="H212" s="29"/>
      <c r="I212" s="235"/>
      <c r="J212" s="236"/>
      <c r="K212" s="218"/>
      <c r="L212" s="29"/>
      <c r="M212" s="29"/>
      <c r="N212" s="29"/>
      <c r="O212" s="29"/>
      <c r="P212" s="29"/>
      <c r="Q212" s="29"/>
      <c r="R212" s="29"/>
      <c r="S212" s="29"/>
    </row>
    <row r="213" spans="1:19" ht="12">
      <c r="A213" s="234"/>
      <c r="B213" s="29"/>
      <c r="C213" s="29"/>
      <c r="D213" s="29"/>
      <c r="E213" s="198"/>
      <c r="F213" s="29"/>
      <c r="G213" s="29"/>
      <c r="H213" s="29"/>
      <c r="I213" s="235"/>
      <c r="J213" s="236"/>
      <c r="K213" s="218"/>
      <c r="L213" s="29"/>
      <c r="M213" s="29"/>
      <c r="N213" s="29"/>
      <c r="O213" s="29"/>
      <c r="P213" s="29"/>
      <c r="Q213" s="29"/>
      <c r="R213" s="29"/>
      <c r="S213" s="29"/>
    </row>
    <row r="214" spans="1:19" ht="12">
      <c r="A214" s="234"/>
      <c r="B214" s="29"/>
      <c r="C214" s="29"/>
      <c r="D214" s="237"/>
      <c r="E214" s="238"/>
      <c r="F214" s="237"/>
      <c r="G214" s="237"/>
      <c r="H214" s="237"/>
      <c r="I214" s="239"/>
      <c r="J214" s="240"/>
      <c r="K214" s="218"/>
      <c r="L214" s="29"/>
      <c r="M214" s="29"/>
      <c r="N214" s="29"/>
      <c r="O214" s="29"/>
      <c r="P214" s="29"/>
      <c r="Q214" s="29"/>
      <c r="R214" s="29"/>
      <c r="S214" s="29"/>
    </row>
    <row r="215" spans="1:19" ht="12">
      <c r="A215" s="234"/>
      <c r="B215" s="29"/>
      <c r="C215" s="29"/>
      <c r="D215" s="29"/>
      <c r="E215" s="198"/>
      <c r="F215" s="29"/>
      <c r="G215" s="29"/>
      <c r="H215" s="29"/>
      <c r="I215" s="235"/>
      <c r="J215" s="236"/>
      <c r="K215" s="218"/>
      <c r="L215" s="29"/>
      <c r="M215" s="29"/>
      <c r="N215" s="29"/>
      <c r="O215" s="29"/>
      <c r="P215" s="29"/>
      <c r="Q215" s="29"/>
      <c r="R215" s="29"/>
      <c r="S215" s="29"/>
    </row>
    <row r="216" spans="1:19" ht="12">
      <c r="A216" s="234"/>
      <c r="B216" s="29"/>
      <c r="C216" s="29"/>
      <c r="D216" s="29"/>
      <c r="E216" s="198"/>
      <c r="F216" s="29"/>
      <c r="G216" s="29"/>
      <c r="H216" s="29"/>
      <c r="I216" s="235"/>
      <c r="J216" s="236"/>
      <c r="K216" s="218"/>
      <c r="L216" s="29"/>
      <c r="M216" s="29"/>
      <c r="N216" s="29"/>
      <c r="O216" s="29"/>
      <c r="P216" s="29"/>
      <c r="Q216" s="29"/>
      <c r="R216" s="29"/>
      <c r="S216" s="29"/>
    </row>
    <row r="217" spans="1:19" ht="12">
      <c r="A217" s="234"/>
      <c r="B217" s="29"/>
      <c r="C217" s="29"/>
      <c r="D217" s="29"/>
      <c r="E217" s="198"/>
      <c r="F217" s="29"/>
      <c r="G217" s="29"/>
      <c r="H217" s="29"/>
      <c r="I217" s="235"/>
      <c r="J217" s="236"/>
      <c r="K217" s="218"/>
      <c r="L217" s="29"/>
      <c r="M217" s="29"/>
      <c r="N217" s="29"/>
      <c r="O217" s="29"/>
      <c r="P217" s="29"/>
      <c r="Q217" s="29"/>
      <c r="R217" s="29"/>
      <c r="S217" s="29"/>
    </row>
    <row r="218" spans="1:19" ht="12">
      <c r="A218" s="234"/>
      <c r="B218" s="29"/>
      <c r="C218" s="29"/>
      <c r="D218" s="29"/>
      <c r="E218" s="198"/>
      <c r="F218" s="29"/>
      <c r="G218" s="29"/>
      <c r="H218" s="29"/>
      <c r="I218" s="235"/>
      <c r="J218" s="236"/>
      <c r="K218" s="218"/>
      <c r="L218" s="29"/>
      <c r="M218" s="29"/>
      <c r="N218" s="29"/>
      <c r="O218" s="29"/>
      <c r="P218" s="29"/>
      <c r="Q218" s="29"/>
      <c r="R218" s="29"/>
      <c r="S218" s="29"/>
    </row>
    <row r="219" spans="1:19" ht="12">
      <c r="A219" s="234"/>
      <c r="B219" s="29"/>
      <c r="C219" s="29"/>
      <c r="D219" s="29"/>
      <c r="E219" s="198"/>
      <c r="F219" s="29"/>
      <c r="G219" s="29"/>
      <c r="H219" s="29"/>
      <c r="I219" s="235"/>
      <c r="J219" s="236"/>
      <c r="K219" s="218"/>
      <c r="L219" s="29"/>
      <c r="M219" s="29"/>
      <c r="N219" s="29"/>
      <c r="O219" s="29"/>
      <c r="P219" s="29"/>
      <c r="Q219" s="29"/>
      <c r="R219" s="29"/>
      <c r="S219" s="29"/>
    </row>
    <row r="220" spans="1:19" ht="12">
      <c r="A220" s="234"/>
      <c r="B220" s="29"/>
      <c r="C220" s="29"/>
      <c r="D220" s="29"/>
      <c r="E220" s="198"/>
      <c r="F220" s="29"/>
      <c r="G220" s="29"/>
      <c r="H220" s="29"/>
      <c r="I220" s="235"/>
      <c r="J220" s="236"/>
      <c r="K220" s="218"/>
      <c r="L220" s="29"/>
      <c r="M220" s="29"/>
      <c r="N220" s="29"/>
      <c r="O220" s="29"/>
      <c r="P220" s="29"/>
      <c r="Q220" s="29"/>
      <c r="R220" s="29"/>
      <c r="S220" s="29"/>
    </row>
    <row r="221" spans="1:19" ht="12">
      <c r="A221" s="234"/>
      <c r="B221" s="29"/>
      <c r="C221" s="29"/>
      <c r="D221" s="29"/>
      <c r="E221" s="198"/>
      <c r="F221" s="29"/>
      <c r="G221" s="29"/>
      <c r="H221" s="29"/>
      <c r="I221" s="235"/>
      <c r="J221" s="236"/>
      <c r="K221" s="218"/>
      <c r="L221" s="29"/>
      <c r="M221" s="29"/>
      <c r="N221" s="29"/>
      <c r="O221" s="29"/>
      <c r="P221" s="29"/>
      <c r="Q221" s="29"/>
      <c r="R221" s="29"/>
      <c r="S221" s="29"/>
    </row>
    <row r="222" spans="1:19" ht="12">
      <c r="A222" s="234"/>
      <c r="B222" s="29"/>
      <c r="C222" s="29"/>
      <c r="D222" s="29"/>
      <c r="E222" s="198"/>
      <c r="F222" s="29"/>
      <c r="G222" s="29"/>
      <c r="H222" s="29"/>
      <c r="I222" s="235"/>
      <c r="J222" s="236"/>
      <c r="K222" s="218"/>
      <c r="L222" s="29"/>
      <c r="M222" s="29"/>
      <c r="N222" s="29"/>
      <c r="O222" s="29"/>
      <c r="P222" s="29"/>
      <c r="Q222" s="29"/>
      <c r="R222" s="29"/>
      <c r="S222" s="29"/>
    </row>
    <row r="223" spans="1:19" ht="12">
      <c r="A223" s="234"/>
      <c r="B223" s="29"/>
      <c r="C223" s="29"/>
      <c r="D223" s="29"/>
      <c r="E223" s="198"/>
      <c r="F223" s="29"/>
      <c r="G223" s="29"/>
      <c r="H223" s="29"/>
      <c r="I223" s="235"/>
      <c r="J223" s="236"/>
      <c r="K223" s="218"/>
      <c r="L223" s="29"/>
      <c r="M223" s="29"/>
      <c r="N223" s="29"/>
      <c r="O223" s="29"/>
      <c r="P223" s="29"/>
      <c r="Q223" s="29"/>
      <c r="R223" s="29"/>
      <c r="S223" s="29"/>
    </row>
    <row r="224" spans="1:19" ht="12">
      <c r="A224" s="234"/>
      <c r="B224" s="29"/>
      <c r="C224" s="29"/>
      <c r="D224" s="29"/>
      <c r="E224" s="198"/>
      <c r="F224" s="29"/>
      <c r="G224" s="29"/>
      <c r="H224" s="29"/>
      <c r="I224" s="235"/>
      <c r="J224" s="236"/>
      <c r="K224" s="218"/>
      <c r="L224" s="29"/>
      <c r="M224" s="29"/>
      <c r="N224" s="29"/>
      <c r="O224" s="29"/>
      <c r="P224" s="29"/>
      <c r="Q224" s="29"/>
      <c r="R224" s="29"/>
      <c r="S224" s="29"/>
    </row>
    <row r="225" spans="1:19" ht="12">
      <c r="A225" s="234"/>
      <c r="B225" s="29"/>
      <c r="C225" s="29"/>
      <c r="D225" s="29"/>
      <c r="E225" s="198"/>
      <c r="F225" s="29"/>
      <c r="G225" s="29"/>
      <c r="H225" s="29"/>
      <c r="I225" s="235"/>
      <c r="J225" s="236"/>
      <c r="K225" s="218"/>
      <c r="L225" s="29"/>
      <c r="M225" s="29"/>
      <c r="N225" s="29"/>
      <c r="O225" s="29"/>
      <c r="P225" s="29"/>
      <c r="Q225" s="29"/>
      <c r="R225" s="29"/>
      <c r="S225" s="29"/>
    </row>
    <row r="226" spans="1:19" ht="12">
      <c r="A226" s="234"/>
      <c r="B226" s="29"/>
      <c r="C226" s="29"/>
      <c r="D226" s="29"/>
      <c r="E226" s="198"/>
      <c r="F226" s="29"/>
      <c r="G226" s="29"/>
      <c r="H226" s="29"/>
      <c r="I226" s="235"/>
      <c r="J226" s="236"/>
      <c r="K226" s="218"/>
      <c r="L226" s="29"/>
      <c r="M226" s="29"/>
      <c r="N226" s="29"/>
      <c r="O226" s="29"/>
      <c r="P226" s="29"/>
      <c r="Q226" s="29"/>
      <c r="R226" s="29"/>
      <c r="S226" s="29"/>
    </row>
    <row r="227" spans="1:19" ht="12">
      <c r="A227" s="234"/>
      <c r="B227" s="29"/>
      <c r="C227" s="29"/>
      <c r="D227" s="29"/>
      <c r="E227" s="198"/>
      <c r="F227" s="29"/>
      <c r="G227" s="29"/>
      <c r="H227" s="29"/>
      <c r="I227" s="235"/>
      <c r="J227" s="236"/>
      <c r="K227" s="242"/>
      <c r="L227" s="237"/>
      <c r="M227" s="237"/>
      <c r="N227" s="29"/>
      <c r="O227" s="29"/>
      <c r="P227" s="29"/>
      <c r="Q227" s="29"/>
      <c r="R227" s="29"/>
      <c r="S227" s="29"/>
    </row>
    <row r="228" spans="1:19" ht="12">
      <c r="A228" s="234"/>
      <c r="B228" s="29"/>
      <c r="C228" s="29"/>
      <c r="D228" s="29"/>
      <c r="E228" s="198"/>
      <c r="F228" s="29"/>
      <c r="G228" s="29"/>
      <c r="H228" s="29"/>
      <c r="I228" s="235"/>
      <c r="J228" s="236"/>
      <c r="K228" s="218"/>
      <c r="L228" s="29"/>
      <c r="M228" s="29"/>
      <c r="N228" s="29"/>
      <c r="O228" s="29"/>
      <c r="P228" s="29"/>
      <c r="Q228" s="29"/>
      <c r="R228" s="29"/>
      <c r="S228" s="29"/>
    </row>
    <row r="229" spans="1:19" ht="12">
      <c r="A229" s="234"/>
      <c r="B229" s="29"/>
      <c r="C229" s="29"/>
      <c r="D229" s="29"/>
      <c r="E229" s="198"/>
      <c r="F229" s="29"/>
      <c r="G229" s="29"/>
      <c r="H229" s="29"/>
      <c r="I229" s="235"/>
      <c r="J229" s="236"/>
      <c r="K229" s="218"/>
      <c r="L229" s="29"/>
      <c r="M229" s="29"/>
      <c r="N229" s="29"/>
      <c r="O229" s="29"/>
      <c r="P229" s="29"/>
      <c r="Q229" s="29"/>
      <c r="R229" s="29"/>
      <c r="S229" s="29"/>
    </row>
    <row r="230" spans="1:19" ht="12">
      <c r="A230" s="234"/>
      <c r="B230" s="29"/>
      <c r="C230" s="29"/>
      <c r="D230" s="29"/>
      <c r="E230" s="198"/>
      <c r="F230" s="29"/>
      <c r="G230" s="29"/>
      <c r="H230" s="29"/>
      <c r="I230" s="235"/>
      <c r="J230" s="236"/>
      <c r="K230" s="218"/>
      <c r="L230" s="29"/>
      <c r="M230" s="29"/>
      <c r="N230" s="29"/>
      <c r="O230" s="29"/>
      <c r="P230" s="29"/>
      <c r="Q230" s="29"/>
      <c r="R230" s="29"/>
      <c r="S230" s="29"/>
    </row>
    <row r="231" spans="1:19" ht="12">
      <c r="A231" s="234"/>
      <c r="B231" s="29"/>
      <c r="C231" s="29"/>
      <c r="D231" s="29"/>
      <c r="E231" s="198"/>
      <c r="F231" s="29"/>
      <c r="G231" s="29"/>
      <c r="H231" s="29"/>
      <c r="I231" s="235"/>
      <c r="J231" s="236"/>
      <c r="K231" s="218"/>
      <c r="L231" s="29"/>
      <c r="M231" s="29"/>
      <c r="N231" s="29"/>
      <c r="O231" s="29"/>
      <c r="P231" s="29"/>
      <c r="Q231" s="29"/>
      <c r="R231" s="29"/>
      <c r="S231" s="29"/>
    </row>
    <row r="232" spans="1:19" ht="12">
      <c r="A232" s="234"/>
      <c r="B232" s="29"/>
      <c r="C232" s="29"/>
      <c r="D232" s="29"/>
      <c r="E232" s="198"/>
      <c r="F232" s="29"/>
      <c r="G232" s="29"/>
      <c r="H232" s="29"/>
      <c r="I232" s="235"/>
      <c r="J232" s="236"/>
      <c r="K232" s="218"/>
      <c r="L232" s="29"/>
      <c r="M232" s="29"/>
      <c r="N232" s="29"/>
      <c r="O232" s="29"/>
      <c r="P232" s="29"/>
      <c r="Q232" s="29"/>
      <c r="R232" s="29"/>
      <c r="S232" s="29"/>
    </row>
    <row r="233" spans="1:19" ht="12">
      <c r="A233" s="234"/>
      <c r="B233" s="29"/>
      <c r="C233" s="29"/>
      <c r="D233" s="29"/>
      <c r="E233" s="198"/>
      <c r="F233" s="29"/>
      <c r="G233" s="29"/>
      <c r="H233" s="29"/>
      <c r="I233" s="235"/>
      <c r="J233" s="236"/>
      <c r="K233" s="218"/>
      <c r="L233" s="29"/>
      <c r="M233" s="29"/>
      <c r="N233" s="29"/>
      <c r="O233" s="29"/>
      <c r="P233" s="29"/>
      <c r="Q233" s="29"/>
      <c r="R233" s="29"/>
      <c r="S233" s="29"/>
    </row>
    <row r="234" spans="1:19" ht="12">
      <c r="A234" s="234"/>
      <c r="B234" s="29"/>
      <c r="C234" s="29"/>
      <c r="D234" s="29"/>
      <c r="E234" s="198"/>
      <c r="F234" s="29"/>
      <c r="G234" s="29"/>
      <c r="H234" s="29"/>
      <c r="I234" s="235"/>
      <c r="J234" s="236"/>
      <c r="K234" s="218"/>
      <c r="L234" s="29"/>
      <c r="M234" s="29"/>
      <c r="N234" s="29"/>
      <c r="O234" s="29"/>
      <c r="P234" s="29"/>
      <c r="Q234" s="29"/>
      <c r="R234" s="29"/>
      <c r="S234" s="29"/>
    </row>
    <row r="235" spans="1:19" ht="12">
      <c r="A235" s="234"/>
      <c r="B235" s="29"/>
      <c r="C235" s="29"/>
      <c r="D235" s="29"/>
      <c r="E235" s="198"/>
      <c r="F235" s="29"/>
      <c r="G235" s="29"/>
      <c r="H235" s="29"/>
      <c r="I235" s="235"/>
      <c r="J235" s="236"/>
      <c r="K235" s="218"/>
      <c r="L235" s="29"/>
      <c r="M235" s="29"/>
      <c r="N235" s="29"/>
      <c r="O235" s="29"/>
      <c r="P235" s="29"/>
      <c r="Q235" s="29"/>
      <c r="R235" s="29"/>
      <c r="S235" s="29"/>
    </row>
    <row r="236" spans="1:19" ht="12">
      <c r="A236" s="234"/>
      <c r="B236" s="29"/>
      <c r="C236" s="29"/>
      <c r="D236" s="237"/>
      <c r="E236" s="238"/>
      <c r="F236" s="237"/>
      <c r="G236" s="237"/>
      <c r="H236" s="237"/>
      <c r="I236" s="239"/>
      <c r="J236" s="240"/>
      <c r="K236" s="218"/>
      <c r="L236" s="29"/>
      <c r="M236" s="29"/>
      <c r="N236" s="29"/>
      <c r="O236" s="29"/>
      <c r="P236" s="29"/>
      <c r="Q236" s="29"/>
      <c r="R236" s="29"/>
      <c r="S236" s="29"/>
    </row>
    <row r="237" spans="1:19" ht="12">
      <c r="A237" s="234"/>
      <c r="B237" s="29"/>
      <c r="C237" s="29"/>
      <c r="D237" s="29"/>
      <c r="E237" s="198"/>
      <c r="F237" s="29"/>
      <c r="G237" s="29"/>
      <c r="H237" s="29"/>
      <c r="I237" s="235"/>
      <c r="J237" s="236"/>
      <c r="K237" s="218"/>
      <c r="L237" s="29"/>
      <c r="M237" s="29"/>
      <c r="N237" s="29"/>
      <c r="O237" s="29"/>
      <c r="P237" s="29"/>
      <c r="Q237" s="29"/>
      <c r="R237" s="29"/>
      <c r="S237" s="29"/>
    </row>
    <row r="238" spans="1:19" ht="12">
      <c r="A238" s="234"/>
      <c r="B238" s="29"/>
      <c r="C238" s="29"/>
      <c r="D238" s="29"/>
      <c r="E238" s="198"/>
      <c r="F238" s="29"/>
      <c r="G238" s="29"/>
      <c r="H238" s="29"/>
      <c r="I238" s="235"/>
      <c r="J238" s="236"/>
      <c r="K238" s="218"/>
      <c r="L238" s="29"/>
      <c r="M238" s="29"/>
      <c r="N238" s="29"/>
      <c r="O238" s="29"/>
      <c r="P238" s="29"/>
      <c r="Q238" s="29"/>
      <c r="R238" s="29"/>
      <c r="S238" s="29"/>
    </row>
    <row r="239" spans="1:19" ht="12">
      <c r="A239" s="234"/>
      <c r="B239" s="29"/>
      <c r="C239" s="29"/>
      <c r="D239" s="29"/>
      <c r="E239" s="198"/>
      <c r="F239" s="29"/>
      <c r="G239" s="29"/>
      <c r="H239" s="29"/>
      <c r="I239" s="235"/>
      <c r="J239" s="236"/>
      <c r="K239" s="218"/>
      <c r="L239" s="29"/>
      <c r="M239" s="29"/>
      <c r="N239" s="29"/>
      <c r="O239" s="29"/>
      <c r="P239" s="29"/>
      <c r="Q239" s="29"/>
      <c r="R239" s="29"/>
      <c r="S239" s="29"/>
    </row>
    <row r="240" spans="1:19" ht="12">
      <c r="A240" s="234"/>
      <c r="B240" s="29"/>
      <c r="C240" s="29"/>
      <c r="D240" s="29"/>
      <c r="E240" s="198"/>
      <c r="F240" s="29"/>
      <c r="G240" s="29"/>
      <c r="H240" s="29"/>
      <c r="I240" s="235"/>
      <c r="J240" s="236"/>
      <c r="K240" s="218"/>
      <c r="L240" s="29"/>
      <c r="M240" s="29"/>
      <c r="N240" s="29"/>
      <c r="O240" s="29"/>
      <c r="P240" s="29"/>
      <c r="Q240" s="29"/>
      <c r="R240" s="29"/>
      <c r="S240" s="29"/>
    </row>
    <row r="241" spans="1:19" ht="12">
      <c r="A241" s="234"/>
      <c r="B241" s="29"/>
      <c r="C241" s="29"/>
      <c r="D241" s="29"/>
      <c r="E241" s="198"/>
      <c r="F241" s="29"/>
      <c r="G241" s="29"/>
      <c r="H241" s="29"/>
      <c r="I241" s="235"/>
      <c r="J241" s="236"/>
      <c r="K241" s="218"/>
      <c r="L241" s="29"/>
      <c r="M241" s="29"/>
      <c r="N241" s="29"/>
      <c r="O241" s="29"/>
      <c r="P241" s="29"/>
      <c r="Q241" s="29"/>
      <c r="R241" s="29"/>
      <c r="S241" s="29"/>
    </row>
    <row r="242" spans="1:19" ht="12">
      <c r="A242" s="234"/>
      <c r="B242" s="29"/>
      <c r="C242" s="29"/>
      <c r="D242" s="29"/>
      <c r="E242" s="198"/>
      <c r="F242" s="29"/>
      <c r="G242" s="29"/>
      <c r="H242" s="29"/>
      <c r="I242" s="235"/>
      <c r="J242" s="236"/>
      <c r="K242" s="218"/>
      <c r="L242" s="29"/>
      <c r="M242" s="29"/>
      <c r="N242" s="29"/>
      <c r="O242" s="29"/>
      <c r="P242" s="29"/>
      <c r="Q242" s="29"/>
      <c r="R242" s="29"/>
      <c r="S242" s="29"/>
    </row>
    <row r="243" spans="1:19" ht="12">
      <c r="A243" s="234"/>
      <c r="B243" s="29"/>
      <c r="C243" s="29"/>
      <c r="D243" s="29"/>
      <c r="E243" s="198"/>
      <c r="F243" s="29"/>
      <c r="G243" s="29"/>
      <c r="H243" s="29"/>
      <c r="I243" s="235"/>
      <c r="J243" s="236"/>
      <c r="K243" s="218"/>
      <c r="L243" s="29"/>
      <c r="M243" s="29"/>
      <c r="N243" s="29"/>
      <c r="O243" s="29"/>
      <c r="P243" s="29"/>
      <c r="Q243" s="29"/>
      <c r="R243" s="29"/>
      <c r="S243" s="29"/>
    </row>
    <row r="244" spans="1:19" ht="12">
      <c r="A244" s="234"/>
      <c r="B244" s="29"/>
      <c r="C244" s="29"/>
      <c r="D244" s="29"/>
      <c r="E244" s="198"/>
      <c r="F244" s="29"/>
      <c r="G244" s="29"/>
      <c r="H244" s="29"/>
      <c r="I244" s="235"/>
      <c r="J244" s="236"/>
      <c r="K244" s="218"/>
      <c r="L244" s="29"/>
      <c r="M244" s="29"/>
      <c r="N244" s="29"/>
      <c r="O244" s="29"/>
      <c r="P244" s="29"/>
      <c r="Q244" s="29"/>
      <c r="R244" s="29"/>
      <c r="S244" s="29"/>
    </row>
    <row r="245" spans="1:19" ht="12">
      <c r="A245" s="234"/>
      <c r="B245" s="29"/>
      <c r="C245" s="29"/>
      <c r="D245" s="29"/>
      <c r="E245" s="198"/>
      <c r="F245" s="29"/>
      <c r="G245" s="29"/>
      <c r="H245" s="29"/>
      <c r="I245" s="235"/>
      <c r="J245" s="236"/>
      <c r="K245" s="218"/>
      <c r="L245" s="29"/>
      <c r="M245" s="29"/>
      <c r="N245" s="29"/>
      <c r="O245" s="29"/>
      <c r="P245" s="29"/>
      <c r="Q245" s="29"/>
      <c r="R245" s="29"/>
      <c r="S245" s="29"/>
    </row>
    <row r="246" spans="1:19" ht="12">
      <c r="A246" s="234"/>
      <c r="B246" s="29"/>
      <c r="C246" s="29"/>
      <c r="D246" s="29"/>
      <c r="E246" s="198"/>
      <c r="F246" s="29"/>
      <c r="G246" s="29"/>
      <c r="H246" s="29"/>
      <c r="I246" s="235"/>
      <c r="J246" s="236"/>
      <c r="K246" s="218"/>
      <c r="L246" s="29"/>
      <c r="M246" s="29"/>
      <c r="N246" s="29"/>
      <c r="O246" s="29"/>
      <c r="P246" s="29"/>
      <c r="Q246" s="29"/>
      <c r="R246" s="29"/>
      <c r="S246" s="29"/>
    </row>
    <row r="247" spans="1:19" ht="12">
      <c r="A247" s="234"/>
      <c r="B247" s="29"/>
      <c r="C247" s="29"/>
      <c r="D247" s="29"/>
      <c r="E247" s="198"/>
      <c r="F247" s="29"/>
      <c r="G247" s="29"/>
      <c r="H247" s="29"/>
      <c r="I247" s="235"/>
      <c r="J247" s="236"/>
      <c r="K247" s="218"/>
      <c r="L247" s="29"/>
      <c r="M247" s="29"/>
      <c r="N247" s="29"/>
      <c r="O247" s="29"/>
      <c r="P247" s="29"/>
      <c r="Q247" s="29"/>
      <c r="R247" s="29"/>
      <c r="S247" s="29"/>
    </row>
    <row r="248" spans="1:19" ht="12">
      <c r="A248" s="234"/>
      <c r="B248" s="29"/>
      <c r="C248" s="29"/>
      <c r="D248" s="29"/>
      <c r="E248" s="198"/>
      <c r="F248" s="29"/>
      <c r="G248" s="29"/>
      <c r="H248" s="29"/>
      <c r="I248" s="235"/>
      <c r="J248" s="236"/>
      <c r="K248" s="218"/>
      <c r="L248" s="29"/>
      <c r="M248" s="29"/>
      <c r="N248" s="29"/>
      <c r="O248" s="29"/>
      <c r="P248" s="29"/>
      <c r="Q248" s="29"/>
      <c r="R248" s="29"/>
      <c r="S248" s="29"/>
    </row>
    <row r="249" spans="1:19" ht="12">
      <c r="A249" s="234"/>
      <c r="B249" s="29"/>
      <c r="C249" s="29"/>
      <c r="D249" s="29"/>
      <c r="E249" s="198"/>
      <c r="F249" s="29"/>
      <c r="G249" s="29"/>
      <c r="H249" s="29"/>
      <c r="I249" s="235"/>
      <c r="J249" s="236"/>
      <c r="K249" s="218"/>
      <c r="L249" s="29"/>
      <c r="M249" s="29"/>
      <c r="N249" s="29"/>
      <c r="O249" s="29"/>
      <c r="P249" s="29"/>
      <c r="Q249" s="29"/>
      <c r="R249" s="29"/>
      <c r="S249" s="29"/>
    </row>
    <row r="250" spans="1:19" ht="12">
      <c r="A250" s="234"/>
      <c r="B250" s="29"/>
      <c r="C250" s="29"/>
      <c r="D250" s="29"/>
      <c r="E250" s="198"/>
      <c r="F250" s="29"/>
      <c r="G250" s="29"/>
      <c r="H250" s="29"/>
      <c r="I250" s="235"/>
      <c r="J250" s="236"/>
      <c r="K250" s="218"/>
      <c r="L250" s="29"/>
      <c r="M250" s="29"/>
      <c r="N250" s="29"/>
      <c r="O250" s="29"/>
      <c r="P250" s="29"/>
      <c r="Q250" s="29"/>
      <c r="R250" s="29"/>
      <c r="S250" s="29"/>
    </row>
    <row r="251" spans="1:19" ht="12">
      <c r="A251" s="234"/>
      <c r="B251" s="29"/>
      <c r="C251" s="29"/>
      <c r="D251" s="29"/>
      <c r="E251" s="198"/>
      <c r="F251" s="29"/>
      <c r="G251" s="29"/>
      <c r="H251" s="29"/>
      <c r="I251" s="235"/>
      <c r="J251" s="236"/>
      <c r="K251" s="218"/>
      <c r="L251" s="29"/>
      <c r="M251" s="29"/>
      <c r="N251" s="29"/>
      <c r="O251" s="29"/>
      <c r="P251" s="29"/>
      <c r="Q251" s="29"/>
      <c r="R251" s="29"/>
      <c r="S251" s="29"/>
    </row>
    <row r="252" spans="1:19" ht="12">
      <c r="A252" s="234"/>
      <c r="B252" s="29"/>
      <c r="C252" s="29"/>
      <c r="D252" s="29"/>
      <c r="E252" s="198"/>
      <c r="F252" s="29"/>
      <c r="G252" s="29"/>
      <c r="H252" s="29"/>
      <c r="I252" s="235"/>
      <c r="J252" s="236"/>
      <c r="K252" s="218"/>
      <c r="L252" s="29"/>
      <c r="M252" s="29"/>
      <c r="N252" s="29"/>
      <c r="O252" s="29"/>
      <c r="P252" s="29"/>
      <c r="Q252" s="29"/>
      <c r="R252" s="29"/>
      <c r="S252" s="29"/>
    </row>
    <row r="253" spans="1:19" ht="12">
      <c r="A253" s="234"/>
      <c r="B253" s="29"/>
      <c r="C253" s="29"/>
      <c r="D253" s="29"/>
      <c r="E253" s="198"/>
      <c r="F253" s="29"/>
      <c r="G253" s="29"/>
      <c r="H253" s="29"/>
      <c r="I253" s="235"/>
      <c r="J253" s="236"/>
      <c r="K253" s="218"/>
      <c r="L253" s="29"/>
      <c r="M253" s="29"/>
      <c r="N253" s="29"/>
      <c r="O253" s="29"/>
      <c r="P253" s="29"/>
      <c r="Q253" s="29"/>
      <c r="R253" s="29"/>
      <c r="S253" s="29"/>
    </row>
    <row r="254" spans="1:19" ht="12">
      <c r="A254" s="234"/>
      <c r="B254" s="29"/>
      <c r="C254" s="29"/>
      <c r="D254" s="29"/>
      <c r="E254" s="198"/>
      <c r="F254" s="29"/>
      <c r="G254" s="29"/>
      <c r="H254" s="29"/>
      <c r="I254" s="235"/>
      <c r="J254" s="236"/>
      <c r="K254" s="218"/>
      <c r="L254" s="29"/>
      <c r="M254" s="29"/>
      <c r="N254" s="29"/>
      <c r="O254" s="29"/>
      <c r="P254" s="29"/>
      <c r="Q254" s="29"/>
      <c r="R254" s="29"/>
      <c r="S254" s="29"/>
    </row>
    <row r="255" spans="1:19" ht="12">
      <c r="A255" s="234"/>
      <c r="B255" s="29"/>
      <c r="C255" s="29"/>
      <c r="D255" s="29"/>
      <c r="E255" s="198"/>
      <c r="F255" s="29"/>
      <c r="G255" s="29"/>
      <c r="H255" s="29"/>
      <c r="I255" s="235"/>
      <c r="J255" s="236"/>
      <c r="K255" s="218"/>
      <c r="L255" s="29"/>
      <c r="M255" s="29"/>
      <c r="N255" s="29"/>
      <c r="O255" s="29"/>
      <c r="P255" s="29"/>
      <c r="Q255" s="29"/>
      <c r="R255" s="29"/>
      <c r="S255" s="29"/>
    </row>
    <row r="256" spans="1:19" ht="12">
      <c r="A256" s="234"/>
      <c r="B256" s="29"/>
      <c r="C256" s="29"/>
      <c r="D256" s="29"/>
      <c r="E256" s="198"/>
      <c r="F256" s="29"/>
      <c r="G256" s="29"/>
      <c r="H256" s="29"/>
      <c r="I256" s="235"/>
      <c r="J256" s="236"/>
      <c r="K256" s="218"/>
      <c r="L256" s="29"/>
      <c r="M256" s="29"/>
      <c r="N256" s="29"/>
      <c r="O256" s="29"/>
      <c r="P256" s="29"/>
      <c r="Q256" s="29"/>
      <c r="R256" s="29"/>
      <c r="S256" s="29"/>
    </row>
    <row r="257" spans="1:19" ht="12">
      <c r="A257" s="234"/>
      <c r="B257" s="29"/>
      <c r="C257" s="29"/>
      <c r="D257" s="29"/>
      <c r="E257" s="198"/>
      <c r="F257" s="29"/>
      <c r="G257" s="29"/>
      <c r="H257" s="29"/>
      <c r="I257" s="235"/>
      <c r="J257" s="236"/>
      <c r="K257" s="218"/>
      <c r="L257" s="29"/>
      <c r="M257" s="29"/>
      <c r="N257" s="29"/>
      <c r="O257" s="29"/>
      <c r="P257" s="29"/>
      <c r="Q257" s="29"/>
      <c r="R257" s="29"/>
      <c r="S257" s="29"/>
    </row>
    <row r="258" spans="1:19" ht="12">
      <c r="A258" s="234"/>
      <c r="B258" s="29"/>
      <c r="C258" s="29"/>
      <c r="D258" s="29"/>
      <c r="E258" s="198"/>
      <c r="F258" s="29"/>
      <c r="G258" s="29"/>
      <c r="H258" s="29"/>
      <c r="I258" s="235"/>
      <c r="J258" s="236"/>
      <c r="K258" s="218"/>
      <c r="L258" s="29"/>
      <c r="M258" s="29"/>
      <c r="N258" s="29"/>
      <c r="O258" s="29"/>
      <c r="P258" s="29"/>
      <c r="Q258" s="29"/>
      <c r="R258" s="29"/>
      <c r="S258" s="29"/>
    </row>
    <row r="259" spans="1:19" ht="12">
      <c r="A259" s="234"/>
      <c r="B259" s="29"/>
      <c r="C259" s="29"/>
      <c r="D259" s="29"/>
      <c r="E259" s="198"/>
      <c r="F259" s="29"/>
      <c r="G259" s="29"/>
      <c r="H259" s="29"/>
      <c r="I259" s="235"/>
      <c r="J259" s="236"/>
      <c r="K259" s="218"/>
      <c r="L259" s="29"/>
      <c r="M259" s="29"/>
      <c r="N259" s="29"/>
      <c r="O259" s="29"/>
      <c r="P259" s="29"/>
      <c r="Q259" s="29"/>
      <c r="R259" s="29"/>
      <c r="S259" s="29"/>
    </row>
    <row r="260" spans="1:19" ht="12">
      <c r="A260" s="234"/>
      <c r="B260" s="29"/>
      <c r="C260" s="29"/>
      <c r="D260" s="29"/>
      <c r="E260" s="198"/>
      <c r="F260" s="29"/>
      <c r="G260" s="29"/>
      <c r="H260" s="29"/>
      <c r="I260" s="235"/>
      <c r="J260" s="236"/>
      <c r="K260" s="218"/>
      <c r="L260" s="29"/>
      <c r="M260" s="29"/>
      <c r="N260" s="29"/>
      <c r="O260" s="29"/>
      <c r="P260" s="29"/>
      <c r="Q260" s="29"/>
      <c r="R260" s="29"/>
      <c r="S260" s="29"/>
    </row>
    <row r="261" spans="1:19" ht="12">
      <c r="A261" s="234"/>
      <c r="B261" s="29"/>
      <c r="C261" s="29"/>
      <c r="D261" s="29"/>
      <c r="E261" s="198"/>
      <c r="F261" s="29"/>
      <c r="G261" s="29"/>
      <c r="H261" s="29"/>
      <c r="I261" s="235"/>
      <c r="J261" s="236"/>
      <c r="K261" s="218"/>
      <c r="L261" s="29"/>
      <c r="M261" s="29"/>
      <c r="N261" s="29"/>
      <c r="O261" s="29"/>
      <c r="P261" s="29"/>
      <c r="Q261" s="29"/>
      <c r="R261" s="29"/>
      <c r="S261" s="29"/>
    </row>
    <row r="262" spans="1:19" ht="12">
      <c r="A262" s="234"/>
      <c r="B262" s="29"/>
      <c r="C262" s="29"/>
      <c r="D262" s="29"/>
      <c r="E262" s="198"/>
      <c r="F262" s="29"/>
      <c r="G262" s="29"/>
      <c r="H262" s="29"/>
      <c r="I262" s="235"/>
      <c r="J262" s="236"/>
      <c r="K262" s="218"/>
      <c r="L262" s="29"/>
      <c r="M262" s="29"/>
      <c r="N262" s="29"/>
      <c r="O262" s="29"/>
      <c r="P262" s="29"/>
      <c r="Q262" s="29"/>
      <c r="R262" s="29"/>
      <c r="S262" s="29"/>
    </row>
    <row r="263" spans="1:19" ht="12">
      <c r="A263" s="234"/>
      <c r="B263" s="29"/>
      <c r="C263" s="29"/>
      <c r="D263" s="29"/>
      <c r="E263" s="198"/>
      <c r="F263" s="29"/>
      <c r="G263" s="29"/>
      <c r="H263" s="29"/>
      <c r="I263" s="235"/>
      <c r="J263" s="236"/>
      <c r="K263" s="218"/>
      <c r="L263" s="29"/>
      <c r="M263" s="29"/>
      <c r="N263" s="29"/>
      <c r="O263" s="29"/>
      <c r="P263" s="29"/>
      <c r="Q263" s="29"/>
      <c r="R263" s="29"/>
      <c r="S263" s="29"/>
    </row>
    <row r="264" spans="1:19" ht="12">
      <c r="A264" s="234"/>
      <c r="B264" s="29"/>
      <c r="C264" s="29"/>
      <c r="D264" s="29"/>
      <c r="E264" s="198"/>
      <c r="F264" s="29"/>
      <c r="G264" s="29"/>
      <c r="H264" s="29"/>
      <c r="I264" s="235"/>
      <c r="J264" s="236"/>
      <c r="K264" s="218"/>
      <c r="L264" s="29"/>
      <c r="M264" s="29"/>
      <c r="N264" s="29"/>
      <c r="O264" s="29"/>
      <c r="P264" s="29"/>
      <c r="Q264" s="29"/>
      <c r="R264" s="29"/>
      <c r="S264" s="29"/>
    </row>
    <row r="265" spans="1:19" ht="12">
      <c r="A265" s="234"/>
      <c r="B265" s="29"/>
      <c r="C265" s="29"/>
      <c r="D265" s="29"/>
      <c r="E265" s="198"/>
      <c r="F265" s="29"/>
      <c r="G265" s="29"/>
      <c r="H265" s="29"/>
      <c r="I265" s="235"/>
      <c r="J265" s="236"/>
      <c r="K265" s="218"/>
      <c r="L265" s="29"/>
      <c r="M265" s="29"/>
      <c r="N265" s="29"/>
      <c r="O265" s="29"/>
      <c r="P265" s="29"/>
      <c r="Q265" s="29"/>
      <c r="R265" s="29"/>
      <c r="S265" s="29"/>
    </row>
    <row r="266" spans="1:19" ht="12">
      <c r="A266" s="234"/>
      <c r="B266" s="29"/>
      <c r="C266" s="29"/>
      <c r="D266" s="29"/>
      <c r="E266" s="198"/>
      <c r="F266" s="29"/>
      <c r="G266" s="29"/>
      <c r="H266" s="29"/>
      <c r="I266" s="235"/>
      <c r="J266" s="236"/>
      <c r="K266" s="218"/>
      <c r="L266" s="29"/>
      <c r="M266" s="29"/>
      <c r="N266" s="29"/>
      <c r="O266" s="29"/>
      <c r="P266" s="29"/>
      <c r="Q266" s="29"/>
      <c r="R266" s="29"/>
      <c r="S266" s="29"/>
    </row>
    <row r="267" spans="1:19" ht="12">
      <c r="A267" s="234"/>
      <c r="B267" s="29"/>
      <c r="C267" s="29"/>
      <c r="D267" s="29"/>
      <c r="E267" s="198"/>
      <c r="F267" s="29"/>
      <c r="G267" s="29"/>
      <c r="H267" s="29"/>
      <c r="I267" s="235"/>
      <c r="J267" s="236"/>
      <c r="K267" s="218"/>
      <c r="L267" s="29"/>
      <c r="M267" s="29"/>
      <c r="N267" s="29"/>
      <c r="O267" s="29"/>
      <c r="P267" s="29"/>
      <c r="Q267" s="29"/>
      <c r="R267" s="29"/>
      <c r="S267" s="29"/>
    </row>
    <row r="268" spans="1:19" ht="12">
      <c r="A268" s="234"/>
      <c r="B268" s="29"/>
      <c r="C268" s="29"/>
      <c r="D268" s="29"/>
      <c r="E268" s="198"/>
      <c r="F268" s="29"/>
      <c r="G268" s="29"/>
      <c r="H268" s="29"/>
      <c r="I268" s="235"/>
      <c r="J268" s="236"/>
      <c r="K268" s="218"/>
      <c r="L268" s="29"/>
      <c r="M268" s="29"/>
      <c r="N268" s="29"/>
      <c r="O268" s="29"/>
      <c r="P268" s="29"/>
      <c r="Q268" s="29"/>
      <c r="R268" s="29"/>
      <c r="S268" s="29"/>
    </row>
    <row r="269" spans="1:19" ht="12">
      <c r="A269" s="234"/>
      <c r="B269" s="29"/>
      <c r="C269" s="29"/>
      <c r="D269" s="29"/>
      <c r="E269" s="198"/>
      <c r="F269" s="29"/>
      <c r="G269" s="29"/>
      <c r="H269" s="29"/>
      <c r="I269" s="235"/>
      <c r="J269" s="236"/>
      <c r="K269" s="218"/>
      <c r="L269" s="29"/>
      <c r="M269" s="29"/>
      <c r="N269" s="29"/>
      <c r="O269" s="29"/>
      <c r="P269" s="29"/>
      <c r="Q269" s="29"/>
      <c r="R269" s="29"/>
      <c r="S269" s="29"/>
    </row>
    <row r="270" spans="1:19" ht="12">
      <c r="A270" s="234"/>
      <c r="B270" s="29"/>
      <c r="C270" s="29"/>
      <c r="D270" s="29"/>
      <c r="E270" s="198"/>
      <c r="F270" s="29"/>
      <c r="G270" s="29"/>
      <c r="H270" s="29"/>
      <c r="I270" s="235"/>
      <c r="J270" s="236"/>
      <c r="K270" s="218"/>
      <c r="L270" s="29"/>
      <c r="M270" s="29"/>
      <c r="N270" s="29"/>
      <c r="O270" s="29"/>
      <c r="P270" s="29"/>
      <c r="Q270" s="29"/>
      <c r="R270" s="29"/>
      <c r="S270" s="29"/>
    </row>
    <row r="271" spans="1:19" ht="12">
      <c r="A271" s="234"/>
      <c r="B271" s="29"/>
      <c r="C271" s="29"/>
      <c r="D271" s="29"/>
      <c r="E271" s="198"/>
      <c r="F271" s="29"/>
      <c r="G271" s="29"/>
      <c r="H271" s="29"/>
      <c r="I271" s="235"/>
      <c r="J271" s="236"/>
      <c r="K271" s="218"/>
      <c r="L271" s="29"/>
      <c r="M271" s="29"/>
      <c r="N271" s="29"/>
      <c r="O271" s="29"/>
      <c r="P271" s="29"/>
      <c r="Q271" s="29"/>
      <c r="R271" s="29"/>
      <c r="S271" s="29"/>
    </row>
    <row r="272" spans="1:19" ht="12">
      <c r="A272" s="234"/>
      <c r="B272" s="29"/>
      <c r="C272" s="29"/>
      <c r="D272" s="29"/>
      <c r="E272" s="198"/>
      <c r="F272" s="29"/>
      <c r="G272" s="29"/>
      <c r="H272" s="29"/>
      <c r="I272" s="235"/>
      <c r="J272" s="236"/>
      <c r="K272" s="218"/>
      <c r="L272" s="29"/>
      <c r="M272" s="29"/>
      <c r="N272" s="29"/>
      <c r="O272" s="29"/>
      <c r="P272" s="29"/>
      <c r="Q272" s="29"/>
      <c r="R272" s="29"/>
      <c r="S272" s="29"/>
    </row>
    <row r="273" spans="1:19" ht="12">
      <c r="A273" s="234"/>
      <c r="B273" s="29"/>
      <c r="C273" s="29"/>
      <c r="D273" s="29"/>
      <c r="E273" s="198"/>
      <c r="F273" s="29"/>
      <c r="G273" s="29"/>
      <c r="H273" s="29"/>
      <c r="I273" s="235"/>
      <c r="J273" s="236"/>
      <c r="K273" s="218"/>
      <c r="L273" s="29"/>
      <c r="M273" s="29"/>
      <c r="N273" s="29"/>
      <c r="O273" s="29"/>
      <c r="P273" s="29"/>
      <c r="Q273" s="29"/>
      <c r="R273" s="29"/>
      <c r="S273" s="29"/>
    </row>
    <row r="274" spans="1:19" ht="12">
      <c r="A274" s="234"/>
      <c r="B274" s="29"/>
      <c r="C274" s="29"/>
      <c r="D274" s="29"/>
      <c r="E274" s="198"/>
      <c r="F274" s="29"/>
      <c r="G274" s="29"/>
      <c r="H274" s="29"/>
      <c r="I274" s="235"/>
      <c r="J274" s="236"/>
      <c r="K274" s="218"/>
      <c r="L274" s="29"/>
      <c r="M274" s="29"/>
      <c r="N274" s="29"/>
      <c r="O274" s="29"/>
      <c r="P274" s="29"/>
      <c r="Q274" s="29"/>
      <c r="R274" s="29"/>
      <c r="S274" s="29"/>
    </row>
    <row r="275" spans="1:19" ht="12">
      <c r="A275" s="234"/>
      <c r="B275" s="29"/>
      <c r="C275" s="29"/>
      <c r="D275" s="29"/>
      <c r="E275" s="198"/>
      <c r="F275" s="29"/>
      <c r="G275" s="29"/>
      <c r="H275" s="29"/>
      <c r="I275" s="235"/>
      <c r="J275" s="236"/>
      <c r="K275" s="218"/>
      <c r="L275" s="29"/>
      <c r="M275" s="29"/>
      <c r="N275" s="29"/>
      <c r="O275" s="29"/>
      <c r="P275" s="29"/>
      <c r="Q275" s="29"/>
      <c r="R275" s="29"/>
      <c r="S275" s="29"/>
    </row>
    <row r="276" spans="1:19" ht="12">
      <c r="A276" s="234"/>
      <c r="B276" s="29"/>
      <c r="C276" s="29"/>
      <c r="D276" s="29"/>
      <c r="E276" s="198"/>
      <c r="F276" s="29"/>
      <c r="G276" s="29"/>
      <c r="H276" s="29"/>
      <c r="I276" s="235"/>
      <c r="J276" s="236"/>
      <c r="K276" s="218"/>
      <c r="L276" s="29"/>
      <c r="M276" s="29"/>
      <c r="N276" s="29"/>
      <c r="O276" s="29"/>
      <c r="P276" s="29"/>
      <c r="Q276" s="29"/>
      <c r="R276" s="29"/>
      <c r="S276" s="29"/>
    </row>
    <row r="277" spans="1:19" ht="12">
      <c r="A277" s="234"/>
      <c r="B277" s="29"/>
      <c r="C277" s="29"/>
      <c r="D277" s="29"/>
      <c r="E277" s="198"/>
      <c r="F277" s="29"/>
      <c r="G277" s="29"/>
      <c r="H277" s="29"/>
      <c r="I277" s="235"/>
      <c r="J277" s="236"/>
      <c r="K277" s="218"/>
      <c r="L277" s="29"/>
      <c r="M277" s="29"/>
      <c r="N277" s="29"/>
      <c r="O277" s="29"/>
      <c r="P277" s="29"/>
      <c r="Q277" s="29"/>
      <c r="R277" s="29"/>
      <c r="S277" s="29"/>
    </row>
    <row r="278" spans="1:19" ht="12">
      <c r="A278" s="234"/>
      <c r="B278" s="29"/>
      <c r="C278" s="29"/>
      <c r="D278" s="29"/>
      <c r="E278" s="198"/>
      <c r="F278" s="29"/>
      <c r="G278" s="29"/>
      <c r="H278" s="29"/>
      <c r="I278" s="235"/>
      <c r="J278" s="236"/>
      <c r="K278" s="218"/>
      <c r="L278" s="29"/>
      <c r="M278" s="29"/>
      <c r="N278" s="29"/>
      <c r="O278" s="29"/>
      <c r="P278" s="29"/>
      <c r="Q278" s="29"/>
      <c r="R278" s="29"/>
      <c r="S278" s="29"/>
    </row>
    <row r="279" spans="1:19" ht="12">
      <c r="A279" s="234"/>
      <c r="B279" s="29"/>
      <c r="C279" s="29"/>
      <c r="D279" s="29"/>
      <c r="E279" s="198"/>
      <c r="F279" s="29"/>
      <c r="G279" s="29"/>
      <c r="H279" s="29"/>
      <c r="I279" s="235"/>
      <c r="J279" s="236"/>
      <c r="K279" s="218"/>
      <c r="L279" s="29"/>
      <c r="M279" s="29"/>
      <c r="N279" s="29"/>
      <c r="O279" s="29"/>
      <c r="P279" s="29"/>
      <c r="Q279" s="29"/>
      <c r="R279" s="29"/>
      <c r="S279" s="29"/>
    </row>
    <row r="280" spans="1:19" ht="12">
      <c r="A280" s="234"/>
      <c r="B280" s="29"/>
      <c r="C280" s="29"/>
      <c r="D280" s="29"/>
      <c r="E280" s="198"/>
      <c r="F280" s="29"/>
      <c r="G280" s="29"/>
      <c r="H280" s="29"/>
      <c r="I280" s="235"/>
      <c r="J280" s="236"/>
      <c r="K280" s="218"/>
      <c r="L280" s="29"/>
      <c r="M280" s="29"/>
      <c r="N280" s="29"/>
      <c r="O280" s="29"/>
      <c r="P280" s="29"/>
      <c r="Q280" s="29"/>
      <c r="R280" s="29"/>
      <c r="S280" s="29"/>
    </row>
    <row r="281" spans="1:19" ht="12">
      <c r="A281" s="234"/>
      <c r="B281" s="29"/>
      <c r="C281" s="29"/>
      <c r="D281" s="29"/>
      <c r="E281" s="198"/>
      <c r="F281" s="29"/>
      <c r="G281" s="29"/>
      <c r="H281" s="29"/>
      <c r="I281" s="235"/>
      <c r="J281" s="236"/>
      <c r="K281" s="218"/>
      <c r="L281" s="29"/>
      <c r="M281" s="29"/>
      <c r="N281" s="29"/>
      <c r="O281" s="29"/>
      <c r="P281" s="29"/>
      <c r="Q281" s="29"/>
      <c r="R281" s="29"/>
      <c r="S281" s="29"/>
    </row>
    <row r="282" spans="1:19" ht="12">
      <c r="A282" s="234"/>
      <c r="B282" s="29"/>
      <c r="C282" s="29"/>
      <c r="D282" s="29"/>
      <c r="E282" s="198"/>
      <c r="F282" s="29"/>
      <c r="G282" s="29"/>
      <c r="H282" s="29"/>
      <c r="I282" s="235"/>
      <c r="J282" s="236"/>
      <c r="K282" s="218"/>
      <c r="L282" s="29"/>
      <c r="M282" s="29"/>
      <c r="N282" s="29"/>
      <c r="O282" s="29"/>
      <c r="P282" s="29"/>
      <c r="Q282" s="29"/>
      <c r="R282" s="29"/>
      <c r="S282" s="29"/>
    </row>
    <row r="283" spans="1:19" ht="12">
      <c r="A283" s="234"/>
      <c r="B283" s="29"/>
      <c r="C283" s="29"/>
      <c r="D283" s="29"/>
      <c r="E283" s="198"/>
      <c r="F283" s="29"/>
      <c r="G283" s="29"/>
      <c r="H283" s="29"/>
      <c r="I283" s="235"/>
      <c r="J283" s="236"/>
      <c r="K283" s="218"/>
      <c r="L283" s="29"/>
      <c r="M283" s="29"/>
      <c r="N283" s="29"/>
      <c r="O283" s="29"/>
      <c r="P283" s="29"/>
      <c r="Q283" s="29"/>
      <c r="R283" s="29"/>
      <c r="S283" s="29"/>
    </row>
    <row r="284" spans="1:19" ht="12">
      <c r="A284" s="234"/>
      <c r="B284" s="29"/>
      <c r="C284" s="29"/>
      <c r="D284" s="29"/>
      <c r="E284" s="198"/>
      <c r="F284" s="29"/>
      <c r="G284" s="29"/>
      <c r="H284" s="29"/>
      <c r="I284" s="235"/>
      <c r="J284" s="236"/>
      <c r="K284" s="218"/>
      <c r="L284" s="29"/>
      <c r="M284" s="29"/>
      <c r="N284" s="29"/>
      <c r="O284" s="29"/>
      <c r="P284" s="29"/>
      <c r="Q284" s="29"/>
      <c r="R284" s="29"/>
      <c r="S284" s="29"/>
    </row>
    <row r="285" spans="1:19" ht="12">
      <c r="A285" s="234"/>
      <c r="B285" s="29"/>
      <c r="C285" s="29"/>
      <c r="D285" s="29"/>
      <c r="E285" s="198"/>
      <c r="F285" s="29"/>
      <c r="G285" s="29"/>
      <c r="H285" s="29"/>
      <c r="I285" s="235"/>
      <c r="J285" s="236"/>
      <c r="K285" s="218"/>
      <c r="L285" s="29"/>
      <c r="M285" s="29"/>
      <c r="N285" s="29"/>
      <c r="O285" s="29"/>
      <c r="P285" s="29"/>
      <c r="Q285" s="29"/>
      <c r="R285" s="29"/>
      <c r="S285" s="29"/>
    </row>
    <row r="286" spans="1:19" ht="12">
      <c r="A286" s="234"/>
      <c r="B286" s="29"/>
      <c r="C286" s="29"/>
      <c r="D286" s="29"/>
      <c r="E286" s="198"/>
      <c r="F286" s="29"/>
      <c r="G286" s="29"/>
      <c r="H286" s="29"/>
      <c r="I286" s="235"/>
      <c r="J286" s="236"/>
      <c r="K286" s="218"/>
      <c r="L286" s="29"/>
      <c r="M286" s="29"/>
      <c r="N286" s="29"/>
      <c r="O286" s="29"/>
      <c r="P286" s="29"/>
      <c r="Q286" s="29"/>
      <c r="R286" s="29"/>
      <c r="S286" s="29"/>
    </row>
    <row r="287" spans="1:19" ht="12">
      <c r="A287" s="234"/>
      <c r="B287" s="29"/>
      <c r="C287" s="29"/>
      <c r="D287" s="29"/>
      <c r="E287" s="198"/>
      <c r="F287" s="29"/>
      <c r="G287" s="29"/>
      <c r="H287" s="29"/>
      <c r="I287" s="235"/>
      <c r="J287" s="236"/>
      <c r="K287" s="218"/>
      <c r="L287" s="29"/>
      <c r="M287" s="29"/>
      <c r="N287" s="29"/>
      <c r="O287" s="29"/>
      <c r="P287" s="29"/>
      <c r="Q287" s="29"/>
      <c r="R287" s="29"/>
      <c r="S287" s="29"/>
    </row>
    <row r="288" spans="1:19" ht="12">
      <c r="A288" s="234"/>
      <c r="B288" s="29"/>
      <c r="C288" s="29"/>
      <c r="D288" s="29"/>
      <c r="E288" s="198"/>
      <c r="F288" s="29"/>
      <c r="G288" s="29"/>
      <c r="H288" s="29"/>
      <c r="I288" s="235"/>
      <c r="J288" s="236"/>
      <c r="K288" s="218"/>
      <c r="L288" s="29"/>
      <c r="M288" s="29"/>
      <c r="N288" s="29"/>
      <c r="O288" s="29"/>
      <c r="P288" s="29"/>
      <c r="Q288" s="29"/>
      <c r="R288" s="29"/>
      <c r="S288" s="29"/>
    </row>
    <row r="289" spans="1:19" ht="12">
      <c r="A289" s="234"/>
      <c r="B289" s="29"/>
      <c r="C289" s="29"/>
      <c r="D289" s="29"/>
      <c r="E289" s="198"/>
      <c r="F289" s="29"/>
      <c r="G289" s="29"/>
      <c r="H289" s="29"/>
      <c r="I289" s="235"/>
      <c r="J289" s="236"/>
      <c r="K289" s="218"/>
      <c r="L289" s="29"/>
      <c r="M289" s="29"/>
      <c r="N289" s="29"/>
      <c r="O289" s="29"/>
      <c r="P289" s="29"/>
      <c r="Q289" s="29"/>
      <c r="R289" s="29"/>
      <c r="S289" s="29"/>
    </row>
    <row r="290" spans="1:19" ht="12">
      <c r="A290" s="234"/>
      <c r="B290" s="29"/>
      <c r="C290" s="29"/>
      <c r="D290" s="29"/>
      <c r="E290" s="198"/>
      <c r="F290" s="29"/>
      <c r="G290" s="29"/>
      <c r="H290" s="29"/>
      <c r="I290" s="235"/>
      <c r="J290" s="236"/>
      <c r="K290" s="218"/>
      <c r="L290" s="29"/>
      <c r="M290" s="29"/>
      <c r="N290" s="29"/>
      <c r="O290" s="29"/>
      <c r="P290" s="29"/>
      <c r="Q290" s="29"/>
      <c r="R290" s="29"/>
      <c r="S290" s="29"/>
    </row>
    <row r="291" spans="1:19" ht="12">
      <c r="A291" s="234"/>
      <c r="B291" s="29"/>
      <c r="C291" s="29"/>
      <c r="D291" s="29"/>
      <c r="E291" s="198"/>
      <c r="F291" s="29"/>
      <c r="G291" s="29"/>
      <c r="H291" s="29"/>
      <c r="I291" s="235"/>
      <c r="J291" s="236"/>
      <c r="K291" s="218"/>
      <c r="L291" s="29"/>
      <c r="M291" s="29"/>
      <c r="N291" s="29"/>
      <c r="O291" s="29"/>
      <c r="P291" s="29"/>
      <c r="Q291" s="29"/>
      <c r="R291" s="29"/>
      <c r="S291" s="29"/>
    </row>
    <row r="292" spans="1:19" ht="12">
      <c r="A292" s="234"/>
      <c r="B292" s="29"/>
      <c r="C292" s="29"/>
      <c r="D292" s="29"/>
      <c r="E292" s="198"/>
      <c r="F292" s="29"/>
      <c r="G292" s="29"/>
      <c r="H292" s="29"/>
      <c r="I292" s="235"/>
      <c r="J292" s="236"/>
      <c r="K292" s="218"/>
      <c r="L292" s="29"/>
      <c r="M292" s="29"/>
      <c r="N292" s="29"/>
      <c r="O292" s="29"/>
      <c r="P292" s="29"/>
      <c r="Q292" s="29"/>
      <c r="R292" s="29"/>
      <c r="S292" s="29"/>
    </row>
    <row r="293" spans="1:19" ht="12">
      <c r="A293" s="234"/>
      <c r="B293" s="29"/>
      <c r="C293" s="29"/>
      <c r="D293" s="29"/>
      <c r="E293" s="198"/>
      <c r="F293" s="29"/>
      <c r="G293" s="29"/>
      <c r="H293" s="29"/>
      <c r="I293" s="235"/>
      <c r="J293" s="236"/>
      <c r="K293" s="218"/>
      <c r="L293" s="29"/>
      <c r="M293" s="29"/>
      <c r="N293" s="29"/>
      <c r="O293" s="29"/>
      <c r="P293" s="29"/>
      <c r="Q293" s="29"/>
      <c r="R293" s="29"/>
      <c r="S293" s="29"/>
    </row>
    <row r="294" spans="1:19" ht="12">
      <c r="A294" s="234"/>
      <c r="B294" s="29"/>
      <c r="C294" s="29"/>
      <c r="D294" s="29"/>
      <c r="E294" s="198"/>
      <c r="F294" s="29"/>
      <c r="G294" s="29"/>
      <c r="H294" s="29"/>
      <c r="I294" s="235"/>
      <c r="J294" s="236"/>
      <c r="K294" s="218"/>
      <c r="L294" s="29"/>
      <c r="M294" s="29"/>
      <c r="N294" s="29"/>
      <c r="O294" s="29"/>
      <c r="P294" s="29"/>
      <c r="Q294" s="29"/>
      <c r="R294" s="29"/>
      <c r="S294" s="29"/>
    </row>
    <row r="295" spans="1:19" ht="12">
      <c r="A295" s="234"/>
      <c r="B295" s="29"/>
      <c r="C295" s="29"/>
      <c r="D295" s="29"/>
      <c r="E295" s="198"/>
      <c r="F295" s="29"/>
      <c r="G295" s="29"/>
      <c r="H295" s="29"/>
      <c r="I295" s="235"/>
      <c r="J295" s="236"/>
      <c r="K295" s="218"/>
      <c r="L295" s="29"/>
      <c r="M295" s="29"/>
      <c r="N295" s="29"/>
      <c r="O295" s="29"/>
      <c r="P295" s="29"/>
      <c r="Q295" s="29"/>
      <c r="R295" s="29"/>
      <c r="S295" s="29"/>
    </row>
    <row r="296" spans="1:19" ht="12">
      <c r="A296" s="234"/>
      <c r="B296" s="29"/>
      <c r="C296" s="29"/>
      <c r="D296" s="29"/>
      <c r="E296" s="198"/>
      <c r="F296" s="29"/>
      <c r="G296" s="29"/>
      <c r="H296" s="29"/>
      <c r="I296" s="235"/>
      <c r="J296" s="236"/>
      <c r="K296" s="218"/>
      <c r="L296" s="29"/>
      <c r="M296" s="29"/>
      <c r="N296" s="29"/>
      <c r="O296" s="29"/>
      <c r="P296" s="29"/>
      <c r="Q296" s="29"/>
      <c r="R296" s="29"/>
      <c r="S296" s="29"/>
    </row>
    <row r="297" spans="1:19" ht="12">
      <c r="A297" s="234"/>
      <c r="B297" s="29"/>
      <c r="C297" s="29"/>
      <c r="D297" s="29"/>
      <c r="E297" s="198"/>
      <c r="F297" s="29"/>
      <c r="G297" s="29"/>
      <c r="H297" s="29"/>
      <c r="I297" s="235"/>
      <c r="J297" s="236"/>
      <c r="K297" s="218"/>
      <c r="L297" s="29"/>
      <c r="M297" s="29"/>
      <c r="N297" s="29"/>
      <c r="O297" s="29"/>
      <c r="P297" s="29"/>
      <c r="Q297" s="29"/>
      <c r="R297" s="29"/>
      <c r="S297" s="29"/>
    </row>
    <row r="298" spans="1:19" ht="12">
      <c r="A298" s="234"/>
      <c r="B298" s="29"/>
      <c r="C298" s="29"/>
      <c r="D298" s="29"/>
      <c r="E298" s="198"/>
      <c r="F298" s="29"/>
      <c r="G298" s="29"/>
      <c r="H298" s="29"/>
      <c r="I298" s="235"/>
      <c r="J298" s="236"/>
      <c r="K298" s="218"/>
      <c r="L298" s="29"/>
      <c r="M298" s="29"/>
      <c r="N298" s="29"/>
      <c r="O298" s="29"/>
      <c r="P298" s="29"/>
      <c r="Q298" s="29"/>
      <c r="R298" s="29"/>
      <c r="S298" s="29"/>
    </row>
    <row r="299" spans="1:19" ht="12">
      <c r="A299" s="234"/>
      <c r="B299" s="29"/>
      <c r="C299" s="29"/>
      <c r="D299" s="29"/>
      <c r="E299" s="198"/>
      <c r="F299" s="29"/>
      <c r="G299" s="29"/>
      <c r="H299" s="29"/>
      <c r="I299" s="235"/>
      <c r="J299" s="236"/>
      <c r="K299" s="218"/>
      <c r="L299" s="29"/>
      <c r="M299" s="29"/>
      <c r="N299" s="29"/>
      <c r="O299" s="29"/>
      <c r="P299" s="29"/>
      <c r="Q299" s="29"/>
      <c r="R299" s="29"/>
      <c r="S299" s="29"/>
    </row>
    <row r="300" spans="1:19" ht="12">
      <c r="A300" s="234"/>
      <c r="B300" s="29"/>
      <c r="C300" s="29"/>
      <c r="D300" s="29"/>
      <c r="E300" s="198"/>
      <c r="F300" s="29"/>
      <c r="G300" s="29"/>
      <c r="H300" s="29"/>
      <c r="I300" s="235"/>
      <c r="J300" s="236"/>
      <c r="K300" s="218"/>
      <c r="L300" s="29"/>
      <c r="M300" s="29"/>
      <c r="N300" s="29"/>
      <c r="O300" s="29"/>
      <c r="P300" s="29"/>
      <c r="Q300" s="29"/>
      <c r="R300" s="29"/>
      <c r="S300" s="29"/>
    </row>
    <row r="301" spans="1:19" ht="12">
      <c r="A301" s="234"/>
      <c r="B301" s="29"/>
      <c r="C301" s="29"/>
      <c r="D301" s="29"/>
      <c r="E301" s="198"/>
      <c r="F301" s="29"/>
      <c r="G301" s="29"/>
      <c r="H301" s="29"/>
      <c r="I301" s="235"/>
      <c r="J301" s="236"/>
      <c r="K301" s="218"/>
      <c r="L301" s="29"/>
      <c r="M301" s="29"/>
      <c r="N301" s="29"/>
      <c r="O301" s="29"/>
      <c r="P301" s="29"/>
      <c r="Q301" s="29"/>
      <c r="R301" s="29"/>
      <c r="S301" s="29"/>
    </row>
    <row r="302" spans="1:19" ht="12">
      <c r="A302" s="234"/>
      <c r="B302" s="29"/>
      <c r="C302" s="29"/>
      <c r="D302" s="29"/>
      <c r="E302" s="198"/>
      <c r="F302" s="29"/>
      <c r="G302" s="29"/>
      <c r="H302" s="29"/>
      <c r="I302" s="235"/>
      <c r="J302" s="236"/>
      <c r="K302" s="218"/>
      <c r="L302" s="29"/>
      <c r="M302" s="29"/>
      <c r="N302" s="29"/>
      <c r="O302" s="29"/>
      <c r="P302" s="29"/>
      <c r="Q302" s="29"/>
      <c r="R302" s="29"/>
      <c r="S302" s="29"/>
    </row>
    <row r="303" spans="1:19" ht="12">
      <c r="A303" s="234"/>
      <c r="B303" s="29"/>
      <c r="C303" s="29"/>
      <c r="D303" s="29"/>
      <c r="E303" s="198"/>
      <c r="F303" s="29"/>
      <c r="G303" s="29"/>
      <c r="H303" s="29"/>
      <c r="I303" s="235"/>
      <c r="J303" s="236"/>
      <c r="K303" s="218"/>
      <c r="L303" s="29"/>
      <c r="M303" s="29"/>
      <c r="N303" s="29"/>
      <c r="O303" s="29"/>
      <c r="P303" s="29"/>
      <c r="Q303" s="29"/>
      <c r="R303" s="29"/>
      <c r="S303" s="29"/>
    </row>
    <row r="304" spans="1:19" ht="12">
      <c r="A304" s="234"/>
      <c r="B304" s="29"/>
      <c r="C304" s="29"/>
      <c r="D304" s="29"/>
      <c r="E304" s="198"/>
      <c r="F304" s="29"/>
      <c r="G304" s="29"/>
      <c r="H304" s="29"/>
      <c r="I304" s="235"/>
      <c r="J304" s="236"/>
      <c r="K304" s="218"/>
      <c r="L304" s="29"/>
      <c r="M304" s="29"/>
      <c r="N304" s="29"/>
      <c r="O304" s="29"/>
      <c r="P304" s="29"/>
      <c r="Q304" s="29"/>
      <c r="R304" s="29"/>
      <c r="S304" s="29"/>
    </row>
    <row r="305" spans="1:19" ht="12">
      <c r="A305" s="234"/>
      <c r="B305" s="29"/>
      <c r="C305" s="29"/>
      <c r="D305" s="29"/>
      <c r="E305" s="198"/>
      <c r="F305" s="29"/>
      <c r="G305" s="29"/>
      <c r="H305" s="29"/>
      <c r="I305" s="235"/>
      <c r="J305" s="236"/>
      <c r="K305" s="218"/>
      <c r="L305" s="29"/>
      <c r="M305" s="29"/>
      <c r="N305" s="29"/>
      <c r="O305" s="29"/>
      <c r="P305" s="29"/>
      <c r="Q305" s="29"/>
      <c r="R305" s="29"/>
      <c r="S305" s="29"/>
    </row>
    <row r="306" spans="1:19" ht="12">
      <c r="A306" s="234"/>
      <c r="B306" s="29"/>
      <c r="C306" s="29"/>
      <c r="D306" s="29"/>
      <c r="E306" s="198"/>
      <c r="F306" s="29"/>
      <c r="G306" s="29"/>
      <c r="H306" s="29"/>
      <c r="I306" s="235"/>
      <c r="J306" s="236"/>
      <c r="K306" s="218"/>
      <c r="L306" s="29"/>
      <c r="M306" s="29"/>
      <c r="N306" s="29"/>
      <c r="O306" s="29"/>
      <c r="P306" s="29"/>
      <c r="Q306" s="29"/>
      <c r="R306" s="29"/>
      <c r="S306" s="29"/>
    </row>
    <row r="307" spans="1:19" ht="12">
      <c r="A307" s="234"/>
      <c r="B307" s="29"/>
      <c r="C307" s="29"/>
      <c r="D307" s="29"/>
      <c r="E307" s="198"/>
      <c r="F307" s="29"/>
      <c r="G307" s="29"/>
      <c r="H307" s="29"/>
      <c r="I307" s="235"/>
      <c r="J307" s="236"/>
      <c r="K307" s="218"/>
      <c r="L307" s="29"/>
      <c r="M307" s="29"/>
      <c r="N307" s="29"/>
      <c r="O307" s="29"/>
      <c r="P307" s="29"/>
      <c r="Q307" s="29"/>
      <c r="R307" s="29"/>
      <c r="S307" s="29"/>
    </row>
    <row r="308" spans="1:19" ht="12">
      <c r="A308" s="234"/>
      <c r="B308" s="29"/>
      <c r="C308" s="29"/>
      <c r="D308" s="29"/>
      <c r="E308" s="198"/>
      <c r="F308" s="29"/>
      <c r="G308" s="29"/>
      <c r="H308" s="29"/>
      <c r="I308" s="235"/>
      <c r="J308" s="236"/>
      <c r="K308" s="218"/>
      <c r="L308" s="29"/>
      <c r="M308" s="29"/>
      <c r="N308" s="29"/>
      <c r="O308" s="29"/>
      <c r="P308" s="29"/>
      <c r="Q308" s="29"/>
      <c r="R308" s="29"/>
      <c r="S308" s="29"/>
    </row>
    <row r="309" spans="1:19" ht="12">
      <c r="A309" s="234"/>
      <c r="B309" s="29"/>
      <c r="C309" s="29"/>
      <c r="D309" s="29"/>
      <c r="E309" s="198"/>
      <c r="F309" s="29"/>
      <c r="G309" s="29"/>
      <c r="H309" s="29"/>
      <c r="I309" s="235"/>
      <c r="J309" s="236"/>
      <c r="K309" s="218"/>
      <c r="L309" s="29"/>
      <c r="M309" s="29"/>
      <c r="N309" s="29"/>
      <c r="O309" s="29"/>
      <c r="P309" s="29"/>
      <c r="Q309" s="29"/>
      <c r="R309" s="29"/>
      <c r="S309" s="29"/>
    </row>
    <row r="310" spans="1:19" ht="12">
      <c r="A310" s="234"/>
      <c r="B310" s="29"/>
      <c r="C310" s="29"/>
      <c r="D310" s="29"/>
      <c r="E310" s="198"/>
      <c r="F310" s="29"/>
      <c r="G310" s="29"/>
      <c r="H310" s="29"/>
      <c r="I310" s="235"/>
      <c r="J310" s="236"/>
      <c r="K310" s="218"/>
      <c r="L310" s="29"/>
      <c r="M310" s="29"/>
      <c r="N310" s="29"/>
      <c r="O310" s="29"/>
      <c r="P310" s="29"/>
      <c r="Q310" s="29"/>
      <c r="R310" s="29"/>
      <c r="S310" s="29"/>
    </row>
    <row r="311" spans="1:19" ht="12">
      <c r="A311" s="234"/>
      <c r="B311" s="29"/>
      <c r="C311" s="29"/>
      <c r="D311" s="29"/>
      <c r="E311" s="198"/>
      <c r="F311" s="29"/>
      <c r="G311" s="29"/>
      <c r="H311" s="29"/>
      <c r="I311" s="235"/>
      <c r="J311" s="236"/>
      <c r="K311" s="218"/>
      <c r="L311" s="29"/>
      <c r="M311" s="29"/>
      <c r="N311" s="29"/>
      <c r="O311" s="29"/>
      <c r="P311" s="29"/>
      <c r="Q311" s="29"/>
      <c r="R311" s="29"/>
      <c r="S311" s="29"/>
    </row>
    <row r="312" spans="1:19" ht="12">
      <c r="A312" s="234"/>
      <c r="B312" s="29"/>
      <c r="C312" s="29"/>
      <c r="D312" s="29"/>
      <c r="E312" s="198"/>
      <c r="F312" s="29"/>
      <c r="G312" s="29"/>
      <c r="H312" s="29"/>
      <c r="I312" s="235"/>
      <c r="J312" s="236"/>
      <c r="K312" s="245"/>
      <c r="L312" s="245"/>
      <c r="M312" s="245"/>
      <c r="N312" s="29"/>
      <c r="O312" s="29"/>
      <c r="P312" s="29"/>
      <c r="Q312" s="29"/>
      <c r="R312" s="29"/>
      <c r="S312" s="29"/>
    </row>
    <row r="313" spans="1:19" ht="12">
      <c r="A313" s="234"/>
      <c r="B313" s="29"/>
      <c r="C313" s="29"/>
      <c r="D313" s="29"/>
      <c r="E313" s="198"/>
      <c r="F313" s="29"/>
      <c r="G313" s="29"/>
      <c r="H313" s="29"/>
      <c r="I313" s="235"/>
      <c r="J313" s="236"/>
      <c r="K313" s="218"/>
      <c r="L313" s="29"/>
      <c r="M313" s="29"/>
      <c r="N313" s="29"/>
      <c r="O313" s="29"/>
      <c r="P313" s="29"/>
      <c r="Q313" s="29"/>
      <c r="R313" s="29"/>
      <c r="S313" s="29"/>
    </row>
    <row r="314" spans="1:19" ht="12">
      <c r="A314" s="234"/>
      <c r="B314" s="29"/>
      <c r="C314" s="29"/>
      <c r="D314" s="29"/>
      <c r="E314" s="198"/>
      <c r="F314" s="29"/>
      <c r="G314" s="29"/>
      <c r="H314" s="29"/>
      <c r="I314" s="235"/>
      <c r="J314" s="236"/>
      <c r="K314" s="218"/>
      <c r="L314" s="29"/>
      <c r="M314" s="29"/>
      <c r="N314" s="29"/>
      <c r="O314" s="29"/>
      <c r="P314" s="29"/>
      <c r="Q314" s="29"/>
      <c r="R314" s="29"/>
      <c r="S314" s="29"/>
    </row>
    <row r="315" spans="1:19" ht="12">
      <c r="A315" s="234"/>
      <c r="B315" s="29"/>
      <c r="C315" s="29"/>
      <c r="D315" s="29"/>
      <c r="E315" s="198"/>
      <c r="F315" s="29"/>
      <c r="G315" s="29"/>
      <c r="H315" s="29"/>
      <c r="I315" s="235"/>
      <c r="J315" s="236"/>
      <c r="K315" s="218"/>
      <c r="L315" s="29"/>
      <c r="M315" s="29"/>
      <c r="N315" s="29"/>
      <c r="O315" s="29"/>
      <c r="P315" s="29"/>
      <c r="Q315" s="29"/>
      <c r="R315" s="29"/>
      <c r="S315" s="29"/>
    </row>
    <row r="316" spans="1:19" ht="12">
      <c r="A316" s="234"/>
      <c r="B316" s="29"/>
      <c r="C316" s="29"/>
      <c r="D316" s="29"/>
      <c r="E316" s="198"/>
      <c r="F316" s="29"/>
      <c r="G316" s="29"/>
      <c r="H316" s="29"/>
      <c r="I316" s="235"/>
      <c r="J316" s="236"/>
      <c r="K316" s="218"/>
      <c r="L316" s="29"/>
      <c r="M316" s="29"/>
      <c r="N316" s="29"/>
      <c r="O316" s="29"/>
      <c r="P316" s="29"/>
      <c r="Q316" s="29"/>
      <c r="R316" s="29"/>
      <c r="S316" s="29"/>
    </row>
    <row r="317" spans="1:19" ht="12">
      <c r="A317" s="234"/>
      <c r="B317" s="29"/>
      <c r="C317" s="29"/>
      <c r="D317" s="29"/>
      <c r="E317" s="198"/>
      <c r="F317" s="29"/>
      <c r="G317" s="29"/>
      <c r="H317" s="29"/>
      <c r="I317" s="235"/>
      <c r="J317" s="236"/>
      <c r="K317" s="218"/>
      <c r="L317" s="29"/>
      <c r="M317" s="29"/>
      <c r="N317" s="29"/>
      <c r="O317" s="29"/>
      <c r="P317" s="29"/>
      <c r="Q317" s="29"/>
      <c r="R317" s="29"/>
      <c r="S317" s="29"/>
    </row>
    <row r="318" spans="1:19" ht="12">
      <c r="A318" s="234"/>
      <c r="B318" s="29"/>
      <c r="C318" s="29"/>
      <c r="D318" s="29"/>
      <c r="E318" s="198"/>
      <c r="F318" s="29"/>
      <c r="G318" s="29"/>
      <c r="H318" s="29"/>
      <c r="I318" s="235"/>
      <c r="J318" s="236"/>
      <c r="K318" s="218"/>
      <c r="L318" s="29"/>
      <c r="M318" s="29"/>
      <c r="N318" s="29"/>
      <c r="O318" s="29"/>
      <c r="P318" s="29"/>
      <c r="Q318" s="29"/>
      <c r="R318" s="29"/>
      <c r="S318" s="29"/>
    </row>
    <row r="319" spans="1:19" ht="12">
      <c r="A319" s="234"/>
      <c r="B319" s="29"/>
      <c r="C319" s="29"/>
      <c r="D319" s="29"/>
      <c r="E319" s="198"/>
      <c r="F319" s="29"/>
      <c r="G319" s="29"/>
      <c r="H319" s="29"/>
      <c r="I319" s="235"/>
      <c r="J319" s="236"/>
      <c r="K319" s="218"/>
      <c r="L319" s="29"/>
      <c r="M319" s="29"/>
      <c r="N319" s="29"/>
      <c r="O319" s="29"/>
      <c r="P319" s="29"/>
      <c r="Q319" s="29"/>
      <c r="R319" s="29"/>
      <c r="S319" s="29"/>
    </row>
    <row r="320" spans="1:19" ht="12">
      <c r="A320" s="234"/>
      <c r="B320" s="29"/>
      <c r="C320" s="29"/>
      <c r="D320" s="29"/>
      <c r="E320" s="198"/>
      <c r="F320" s="29"/>
      <c r="G320" s="29"/>
      <c r="H320" s="29"/>
      <c r="I320" s="235"/>
      <c r="J320" s="236"/>
      <c r="K320" s="218"/>
      <c r="L320" s="29"/>
      <c r="M320" s="29"/>
      <c r="N320" s="29"/>
      <c r="O320" s="29"/>
      <c r="P320" s="29"/>
      <c r="Q320" s="29"/>
      <c r="R320" s="29"/>
      <c r="S320" s="29"/>
    </row>
    <row r="321" spans="1:19" ht="12">
      <c r="A321" s="243"/>
      <c r="B321" s="244"/>
      <c r="C321" s="244"/>
      <c r="D321" s="245"/>
      <c r="E321" s="245"/>
      <c r="F321" s="244"/>
      <c r="G321" s="244"/>
      <c r="H321" s="244"/>
      <c r="I321" s="246"/>
      <c r="J321" s="247"/>
      <c r="K321" s="218"/>
      <c r="L321" s="29"/>
      <c r="M321" s="29"/>
      <c r="N321" s="29"/>
      <c r="O321" s="29"/>
      <c r="P321" s="29"/>
      <c r="Q321" s="29"/>
      <c r="R321" s="29"/>
      <c r="S321" s="29"/>
    </row>
    <row r="322" spans="1:19" ht="12">
      <c r="A322" s="234"/>
      <c r="B322" s="29"/>
      <c r="C322" s="29"/>
      <c r="D322" s="29"/>
      <c r="E322" s="198"/>
      <c r="F322" s="29"/>
      <c r="G322" s="29"/>
      <c r="H322" s="29"/>
      <c r="I322" s="235"/>
      <c r="J322" s="236"/>
      <c r="K322" s="218"/>
      <c r="L322" s="29"/>
      <c r="M322" s="29"/>
      <c r="N322" s="29"/>
      <c r="O322" s="29"/>
      <c r="P322" s="29"/>
      <c r="Q322" s="29"/>
      <c r="R322" s="29"/>
      <c r="S322" s="29"/>
    </row>
    <row r="323" spans="1:19" ht="12">
      <c r="A323" s="234"/>
      <c r="B323" s="29"/>
      <c r="C323" s="29"/>
      <c r="D323" s="29"/>
      <c r="E323" s="198"/>
      <c r="F323" s="29"/>
      <c r="G323" s="29"/>
      <c r="H323" s="29"/>
      <c r="I323" s="235"/>
      <c r="J323" s="236"/>
      <c r="K323" s="218"/>
      <c r="L323" s="29"/>
      <c r="M323" s="29"/>
      <c r="N323" s="29"/>
      <c r="O323" s="29"/>
      <c r="P323" s="29"/>
      <c r="Q323" s="29"/>
      <c r="R323" s="29"/>
      <c r="S323" s="29"/>
    </row>
    <row r="324" spans="1:19" ht="12">
      <c r="A324" s="234"/>
      <c r="B324" s="29"/>
      <c r="C324" s="29"/>
      <c r="D324" s="29"/>
      <c r="E324" s="198"/>
      <c r="F324" s="29"/>
      <c r="G324" s="29"/>
      <c r="H324" s="29"/>
      <c r="I324" s="235"/>
      <c r="J324" s="236"/>
      <c r="K324" s="218"/>
      <c r="L324" s="29"/>
      <c r="M324" s="29"/>
      <c r="N324" s="29"/>
      <c r="O324" s="29"/>
      <c r="P324" s="29"/>
      <c r="Q324" s="29"/>
      <c r="R324" s="29"/>
      <c r="S324" s="29"/>
    </row>
    <row r="325" spans="1:19" ht="12">
      <c r="A325" s="234"/>
      <c r="B325" s="29"/>
      <c r="C325" s="29"/>
      <c r="D325" s="29"/>
      <c r="E325" s="198"/>
      <c r="F325" s="29"/>
      <c r="G325" s="29"/>
      <c r="H325" s="29"/>
      <c r="I325" s="235"/>
      <c r="J325" s="236"/>
      <c r="K325" s="218"/>
      <c r="L325" s="29"/>
      <c r="M325" s="29"/>
      <c r="N325" s="29"/>
      <c r="O325" s="29"/>
      <c r="P325" s="29"/>
      <c r="Q325" s="29"/>
      <c r="R325" s="29"/>
      <c r="S325" s="29"/>
    </row>
    <row r="326" spans="1:19" ht="12">
      <c r="A326" s="234"/>
      <c r="B326" s="29"/>
      <c r="C326" s="29"/>
      <c r="D326" s="29"/>
      <c r="E326" s="198"/>
      <c r="F326" s="29"/>
      <c r="G326" s="29"/>
      <c r="H326" s="29"/>
      <c r="I326" s="235"/>
      <c r="J326" s="236"/>
      <c r="K326" s="218"/>
      <c r="L326" s="29"/>
      <c r="M326" s="29"/>
      <c r="N326" s="29"/>
      <c r="O326" s="29"/>
      <c r="P326" s="29"/>
      <c r="Q326" s="29"/>
      <c r="R326" s="29"/>
      <c r="S326" s="29"/>
    </row>
    <row r="327" spans="1:19" ht="12">
      <c r="A327" s="234"/>
      <c r="B327" s="29"/>
      <c r="C327" s="29"/>
      <c r="D327" s="29"/>
      <c r="E327" s="198"/>
      <c r="F327" s="29"/>
      <c r="G327" s="29"/>
      <c r="H327" s="29"/>
      <c r="I327" s="235"/>
      <c r="J327" s="236"/>
      <c r="K327" s="218"/>
      <c r="L327" s="29"/>
      <c r="M327" s="29"/>
      <c r="N327" s="29"/>
      <c r="O327" s="29"/>
      <c r="P327" s="29"/>
      <c r="Q327" s="29"/>
      <c r="R327" s="29"/>
      <c r="S327" s="29"/>
    </row>
    <row r="328" spans="1:19" ht="12">
      <c r="A328" s="234"/>
      <c r="B328" s="29"/>
      <c r="C328" s="29"/>
      <c r="D328" s="29"/>
      <c r="E328" s="198"/>
      <c r="F328" s="29"/>
      <c r="G328" s="29"/>
      <c r="H328" s="29"/>
      <c r="I328" s="235"/>
      <c r="J328" s="236"/>
      <c r="K328" s="218"/>
      <c r="L328" s="29"/>
      <c r="M328" s="29"/>
      <c r="N328" s="29"/>
      <c r="O328" s="29"/>
      <c r="P328" s="29"/>
      <c r="Q328" s="29"/>
      <c r="R328" s="29"/>
      <c r="S328" s="29"/>
    </row>
    <row r="329" spans="1:19" ht="12">
      <c r="A329" s="234"/>
      <c r="B329" s="29"/>
      <c r="C329" s="29"/>
      <c r="D329" s="29"/>
      <c r="E329" s="198"/>
      <c r="F329" s="29"/>
      <c r="G329" s="29"/>
      <c r="H329" s="29"/>
      <c r="I329" s="235"/>
      <c r="J329" s="236"/>
      <c r="K329" s="218"/>
      <c r="L329" s="29"/>
      <c r="M329" s="29"/>
      <c r="N329" s="29"/>
      <c r="O329" s="29"/>
      <c r="P329" s="29"/>
      <c r="Q329" s="29"/>
      <c r="R329" s="29"/>
      <c r="S329" s="29"/>
    </row>
    <row r="330" spans="1:19" ht="12">
      <c r="A330" s="234"/>
      <c r="B330" s="29"/>
      <c r="C330" s="29"/>
      <c r="D330" s="29"/>
      <c r="E330" s="198"/>
      <c r="F330" s="29"/>
      <c r="G330" s="29"/>
      <c r="H330" s="29"/>
      <c r="I330" s="235"/>
      <c r="J330" s="236"/>
      <c r="K330" s="218"/>
      <c r="L330" s="29"/>
      <c r="M330" s="29"/>
      <c r="N330" s="29"/>
      <c r="O330" s="29"/>
      <c r="P330" s="29"/>
      <c r="Q330" s="29"/>
      <c r="R330" s="29"/>
      <c r="S330" s="29"/>
    </row>
    <row r="331" spans="1:19" ht="12">
      <c r="A331" s="234"/>
      <c r="B331" s="29"/>
      <c r="C331" s="29"/>
      <c r="D331" s="29"/>
      <c r="E331" s="198"/>
      <c r="F331" s="29"/>
      <c r="G331" s="29"/>
      <c r="H331" s="29"/>
      <c r="I331" s="235"/>
      <c r="J331" s="236"/>
      <c r="K331" s="218"/>
      <c r="L331" s="29"/>
      <c r="M331" s="29"/>
      <c r="N331" s="29"/>
      <c r="O331" s="29"/>
      <c r="P331" s="29"/>
      <c r="Q331" s="29"/>
      <c r="R331" s="29"/>
      <c r="S331" s="29"/>
    </row>
    <row r="332" spans="1:19" ht="12">
      <c r="A332" s="234"/>
      <c r="B332" s="29"/>
      <c r="C332" s="29"/>
      <c r="D332" s="29"/>
      <c r="E332" s="198"/>
      <c r="F332" s="29"/>
      <c r="G332" s="29"/>
      <c r="H332" s="29"/>
      <c r="I332" s="235"/>
      <c r="J332" s="236"/>
      <c r="K332" s="218"/>
      <c r="L332" s="29"/>
      <c r="M332" s="29"/>
      <c r="N332" s="29"/>
      <c r="O332" s="29"/>
      <c r="P332" s="29"/>
      <c r="Q332" s="29"/>
      <c r="R332" s="29"/>
      <c r="S332" s="29"/>
    </row>
    <row r="333" spans="1:19" ht="12">
      <c r="A333" s="234"/>
      <c r="B333" s="29"/>
      <c r="C333" s="29"/>
      <c r="D333" s="29"/>
      <c r="E333" s="198"/>
      <c r="F333" s="29"/>
      <c r="G333" s="29"/>
      <c r="H333" s="29"/>
      <c r="I333" s="235"/>
      <c r="J333" s="236"/>
      <c r="K333" s="218"/>
      <c r="L333" s="29"/>
      <c r="M333" s="29"/>
      <c r="N333" s="29"/>
      <c r="O333" s="29"/>
      <c r="P333" s="29"/>
      <c r="Q333" s="29"/>
      <c r="R333" s="29"/>
      <c r="S333" s="29"/>
    </row>
    <row r="334" spans="1:19" ht="12">
      <c r="A334" s="234"/>
      <c r="B334" s="29"/>
      <c r="C334" s="29"/>
      <c r="D334" s="29"/>
      <c r="E334" s="198"/>
      <c r="F334" s="29"/>
      <c r="G334" s="29"/>
      <c r="H334" s="29"/>
      <c r="I334" s="235"/>
      <c r="J334" s="236"/>
      <c r="K334" s="218"/>
      <c r="L334" s="29"/>
      <c r="M334" s="29"/>
      <c r="N334" s="29"/>
      <c r="O334" s="29"/>
      <c r="P334" s="29"/>
      <c r="Q334" s="29"/>
      <c r="R334" s="29"/>
      <c r="S334" s="29"/>
    </row>
    <row r="335" spans="1:19" ht="12">
      <c r="A335" s="234"/>
      <c r="B335" s="29"/>
      <c r="C335" s="29"/>
      <c r="D335" s="29"/>
      <c r="E335" s="198"/>
      <c r="F335" s="29"/>
      <c r="G335" s="29"/>
      <c r="H335" s="29"/>
      <c r="I335" s="235"/>
      <c r="J335" s="236"/>
      <c r="K335" s="218"/>
      <c r="L335" s="29"/>
      <c r="M335" s="29"/>
      <c r="N335" s="29"/>
      <c r="O335" s="29"/>
      <c r="P335" s="29"/>
      <c r="Q335" s="29"/>
      <c r="R335" s="29"/>
      <c r="S335" s="29"/>
    </row>
    <row r="336" spans="1:19" ht="12">
      <c r="A336" s="234"/>
      <c r="B336" s="29"/>
      <c r="C336" s="29"/>
      <c r="D336" s="29"/>
      <c r="E336" s="198"/>
      <c r="F336" s="29"/>
      <c r="G336" s="29"/>
      <c r="H336" s="29"/>
      <c r="I336" s="235"/>
      <c r="J336" s="236"/>
      <c r="K336" s="218"/>
      <c r="L336" s="29"/>
      <c r="M336" s="29"/>
      <c r="N336" s="29"/>
      <c r="O336" s="29"/>
      <c r="P336" s="29"/>
      <c r="Q336" s="29"/>
      <c r="R336" s="29"/>
      <c r="S336" s="29"/>
    </row>
    <row r="337" spans="1:19" ht="12">
      <c r="A337" s="234"/>
      <c r="B337" s="29"/>
      <c r="C337" s="29"/>
      <c r="D337" s="29"/>
      <c r="E337" s="198"/>
      <c r="F337" s="29"/>
      <c r="G337" s="29"/>
      <c r="H337" s="29"/>
      <c r="I337" s="235"/>
      <c r="J337" s="236"/>
      <c r="K337" s="218"/>
      <c r="L337" s="29"/>
      <c r="M337" s="29"/>
      <c r="N337" s="29"/>
      <c r="O337" s="29"/>
      <c r="P337" s="29"/>
      <c r="Q337" s="29"/>
      <c r="R337" s="29"/>
      <c r="S337" s="29"/>
    </row>
    <row r="338" spans="1:19" ht="12">
      <c r="A338" s="234"/>
      <c r="B338" s="29"/>
      <c r="C338" s="29"/>
      <c r="D338" s="29"/>
      <c r="E338" s="198"/>
      <c r="F338" s="29"/>
      <c r="G338" s="29"/>
      <c r="H338" s="29"/>
      <c r="I338" s="235"/>
      <c r="J338" s="236"/>
      <c r="K338" s="218"/>
      <c r="L338" s="29"/>
      <c r="M338" s="29"/>
      <c r="N338" s="29"/>
      <c r="O338" s="29"/>
      <c r="P338" s="29"/>
      <c r="Q338" s="29"/>
      <c r="R338" s="29"/>
      <c r="S338" s="29"/>
    </row>
    <row r="339" spans="1:19" ht="12">
      <c r="A339" s="234"/>
      <c r="B339" s="29"/>
      <c r="C339" s="29"/>
      <c r="D339" s="29"/>
      <c r="E339" s="198"/>
      <c r="F339" s="29"/>
      <c r="G339" s="29"/>
      <c r="H339" s="29"/>
      <c r="I339" s="235"/>
      <c r="J339" s="236"/>
      <c r="K339" s="218"/>
      <c r="L339" s="29"/>
      <c r="M339" s="29"/>
      <c r="N339" s="29"/>
      <c r="O339" s="29"/>
      <c r="P339" s="29"/>
      <c r="Q339" s="29"/>
      <c r="R339" s="29"/>
      <c r="S339" s="29"/>
    </row>
    <row r="340" spans="1:19" ht="12">
      <c r="A340" s="234"/>
      <c r="B340" s="29"/>
      <c r="C340" s="29"/>
      <c r="D340" s="29"/>
      <c r="E340" s="198"/>
      <c r="F340" s="29"/>
      <c r="G340" s="29"/>
      <c r="H340" s="29"/>
      <c r="I340" s="235"/>
      <c r="J340" s="236"/>
      <c r="K340" s="218"/>
      <c r="L340" s="29"/>
      <c r="M340" s="29"/>
      <c r="N340" s="29"/>
      <c r="O340" s="29"/>
      <c r="P340" s="29"/>
      <c r="Q340" s="29"/>
      <c r="R340" s="29"/>
      <c r="S340" s="29"/>
    </row>
    <row r="341" spans="1:19" ht="12">
      <c r="A341" s="234"/>
      <c r="B341" s="29"/>
      <c r="C341" s="29"/>
      <c r="D341" s="29"/>
      <c r="E341" s="198"/>
      <c r="F341" s="29"/>
      <c r="G341" s="29"/>
      <c r="H341" s="29"/>
      <c r="I341" s="235"/>
      <c r="J341" s="236"/>
      <c r="K341" s="218"/>
      <c r="L341" s="29"/>
      <c r="M341" s="29"/>
      <c r="N341" s="29"/>
      <c r="O341" s="29"/>
      <c r="P341" s="29"/>
      <c r="Q341" s="29"/>
      <c r="R341" s="29"/>
      <c r="S341" s="29"/>
    </row>
    <row r="342" spans="1:19" ht="12">
      <c r="A342" s="234"/>
      <c r="B342" s="29"/>
      <c r="C342" s="29"/>
      <c r="D342" s="29"/>
      <c r="E342" s="198"/>
      <c r="F342" s="29"/>
      <c r="G342" s="29"/>
      <c r="H342" s="29"/>
      <c r="I342" s="235"/>
      <c r="J342" s="236"/>
      <c r="K342" s="218"/>
      <c r="L342" s="29"/>
      <c r="M342" s="29"/>
      <c r="N342" s="29"/>
      <c r="O342" s="29"/>
      <c r="P342" s="29"/>
      <c r="Q342" s="29"/>
      <c r="R342" s="29"/>
      <c r="S342" s="29"/>
    </row>
    <row r="343" spans="1:19" ht="12">
      <c r="A343" s="234"/>
      <c r="B343" s="29"/>
      <c r="C343" s="29"/>
      <c r="D343" s="29"/>
      <c r="E343" s="198"/>
      <c r="F343" s="29"/>
      <c r="G343" s="29"/>
      <c r="H343" s="29"/>
      <c r="I343" s="235"/>
      <c r="J343" s="236"/>
      <c r="K343" s="218"/>
      <c r="L343" s="29"/>
      <c r="M343" s="29"/>
      <c r="N343" s="29"/>
      <c r="O343" s="29"/>
      <c r="P343" s="29"/>
      <c r="Q343" s="29"/>
      <c r="R343" s="29"/>
      <c r="S343" s="29"/>
    </row>
    <row r="344" spans="1:19" ht="12">
      <c r="A344" s="234"/>
      <c r="B344" s="29"/>
      <c r="C344" s="29"/>
      <c r="D344" s="29"/>
      <c r="E344" s="198"/>
      <c r="F344" s="29"/>
      <c r="G344" s="29"/>
      <c r="H344" s="29"/>
      <c r="I344" s="235"/>
      <c r="J344" s="236"/>
      <c r="K344" s="218"/>
      <c r="L344" s="29"/>
      <c r="M344" s="29"/>
      <c r="N344" s="29"/>
      <c r="O344" s="29"/>
      <c r="P344" s="29"/>
      <c r="Q344" s="29"/>
      <c r="R344" s="29"/>
      <c r="S344" s="29"/>
    </row>
    <row r="345" spans="1:19" ht="12">
      <c r="A345" s="234"/>
      <c r="B345" s="29"/>
      <c r="C345" s="29"/>
      <c r="D345" s="29"/>
      <c r="E345" s="198"/>
      <c r="F345" s="29"/>
      <c r="G345" s="29"/>
      <c r="H345" s="29"/>
      <c r="I345" s="235"/>
      <c r="J345" s="236"/>
      <c r="K345" s="218"/>
      <c r="L345" s="29"/>
      <c r="M345" s="29"/>
      <c r="N345" s="29"/>
      <c r="O345" s="29"/>
      <c r="P345" s="29"/>
      <c r="Q345" s="29"/>
      <c r="R345" s="29"/>
      <c r="S345" s="29"/>
    </row>
    <row r="346" spans="1:19" ht="12">
      <c r="A346" s="234"/>
      <c r="B346" s="29"/>
      <c r="C346" s="29"/>
      <c r="D346" s="29"/>
      <c r="E346" s="198"/>
      <c r="F346" s="29"/>
      <c r="G346" s="29"/>
      <c r="H346" s="29"/>
      <c r="I346" s="235"/>
      <c r="J346" s="236"/>
      <c r="K346" s="218"/>
      <c r="L346" s="29"/>
      <c r="M346" s="29"/>
      <c r="N346" s="29"/>
      <c r="O346" s="29"/>
      <c r="P346" s="29"/>
      <c r="Q346" s="29"/>
      <c r="R346" s="29"/>
      <c r="S346" s="29"/>
    </row>
    <row r="347" spans="1:19" ht="12">
      <c r="A347" s="234"/>
      <c r="B347" s="29"/>
      <c r="C347" s="29"/>
      <c r="D347" s="29"/>
      <c r="E347" s="198"/>
      <c r="F347" s="29"/>
      <c r="G347" s="29"/>
      <c r="H347" s="29"/>
      <c r="I347" s="235"/>
      <c r="J347" s="236"/>
      <c r="K347" s="218"/>
      <c r="L347" s="29"/>
      <c r="M347" s="29"/>
      <c r="N347" s="29"/>
      <c r="O347" s="29"/>
      <c r="P347" s="29"/>
      <c r="Q347" s="29"/>
      <c r="R347" s="29"/>
      <c r="S347" s="29"/>
    </row>
    <row r="348" spans="1:19" ht="12">
      <c r="A348" s="234"/>
      <c r="B348" s="29"/>
      <c r="C348" s="29"/>
      <c r="D348" s="29"/>
      <c r="E348" s="198"/>
      <c r="F348" s="29"/>
      <c r="G348" s="29"/>
      <c r="H348" s="29"/>
      <c r="I348" s="235"/>
      <c r="J348" s="236"/>
      <c r="K348" s="218"/>
      <c r="L348" s="29"/>
      <c r="M348" s="29"/>
      <c r="N348" s="29"/>
      <c r="O348" s="29"/>
      <c r="P348" s="29"/>
      <c r="Q348" s="29"/>
      <c r="R348" s="29"/>
      <c r="S348" s="29"/>
    </row>
    <row r="349" spans="1:19" ht="12">
      <c r="A349" s="234"/>
      <c r="B349" s="29"/>
      <c r="C349" s="29"/>
      <c r="D349" s="29"/>
      <c r="E349" s="198"/>
      <c r="F349" s="29"/>
      <c r="G349" s="29"/>
      <c r="H349" s="29"/>
      <c r="I349" s="235"/>
      <c r="J349" s="236"/>
      <c r="K349" s="218"/>
      <c r="L349" s="29"/>
      <c r="M349" s="29"/>
      <c r="N349" s="29"/>
      <c r="O349" s="29"/>
      <c r="P349" s="29"/>
      <c r="Q349" s="29"/>
      <c r="R349" s="29"/>
      <c r="S349" s="29"/>
    </row>
    <row r="350" spans="1:19" ht="12">
      <c r="A350" s="234"/>
      <c r="B350" s="29"/>
      <c r="C350" s="29"/>
      <c r="D350" s="29"/>
      <c r="E350" s="198"/>
      <c r="F350" s="29"/>
      <c r="G350" s="29"/>
      <c r="H350" s="29"/>
      <c r="I350" s="235"/>
      <c r="J350" s="236"/>
      <c r="K350" s="218"/>
      <c r="L350" s="29"/>
      <c r="M350" s="29"/>
      <c r="N350" s="29"/>
      <c r="O350" s="29"/>
      <c r="P350" s="29"/>
      <c r="Q350" s="29"/>
      <c r="R350" s="29"/>
      <c r="S350" s="29"/>
    </row>
    <row r="351" spans="1:19" ht="12">
      <c r="A351" s="234"/>
      <c r="B351" s="29"/>
      <c r="C351" s="29"/>
      <c r="D351" s="29"/>
      <c r="E351" s="198"/>
      <c r="F351" s="29"/>
      <c r="G351" s="29"/>
      <c r="H351" s="29"/>
      <c r="I351" s="235"/>
      <c r="J351" s="236"/>
      <c r="K351" s="218"/>
      <c r="L351" s="29"/>
      <c r="M351" s="29"/>
      <c r="N351" s="29"/>
      <c r="O351" s="29"/>
      <c r="P351" s="29"/>
      <c r="Q351" s="29"/>
      <c r="R351" s="29"/>
      <c r="S351" s="29"/>
    </row>
    <row r="352" spans="1:19" ht="12">
      <c r="A352" s="234"/>
      <c r="B352" s="29"/>
      <c r="C352" s="29"/>
      <c r="D352" s="29"/>
      <c r="E352" s="198"/>
      <c r="F352" s="29"/>
      <c r="G352" s="29"/>
      <c r="H352" s="29"/>
      <c r="I352" s="235"/>
      <c r="J352" s="236"/>
      <c r="K352" s="218"/>
      <c r="L352" s="29"/>
      <c r="M352" s="29"/>
      <c r="N352" s="29"/>
      <c r="O352" s="29"/>
      <c r="P352" s="29"/>
      <c r="Q352" s="29"/>
      <c r="R352" s="29"/>
      <c r="S352" s="29"/>
    </row>
    <row r="353" spans="1:19" ht="12">
      <c r="A353" s="234"/>
      <c r="B353" s="29"/>
      <c r="C353" s="29"/>
      <c r="D353" s="29"/>
      <c r="E353" s="198"/>
      <c r="F353" s="29"/>
      <c r="G353" s="29"/>
      <c r="H353" s="29"/>
      <c r="I353" s="235"/>
      <c r="J353" s="236"/>
      <c r="K353" s="218"/>
      <c r="L353" s="29"/>
      <c r="M353" s="29"/>
      <c r="N353" s="29"/>
      <c r="O353" s="29"/>
      <c r="P353" s="29"/>
      <c r="Q353" s="29"/>
      <c r="R353" s="29"/>
      <c r="S353" s="29"/>
    </row>
    <row r="354" spans="1:19" ht="12">
      <c r="A354" s="234"/>
      <c r="B354" s="29"/>
      <c r="C354" s="29"/>
      <c r="D354" s="29"/>
      <c r="E354" s="198"/>
      <c r="F354" s="29"/>
      <c r="G354" s="29"/>
      <c r="H354" s="29"/>
      <c r="I354" s="235"/>
      <c r="J354" s="236"/>
      <c r="K354" s="218"/>
      <c r="L354" s="29"/>
      <c r="M354" s="29"/>
      <c r="N354" s="29"/>
      <c r="O354" s="29"/>
      <c r="P354" s="29"/>
      <c r="Q354" s="29"/>
      <c r="R354" s="29"/>
      <c r="S354" s="29"/>
    </row>
    <row r="355" spans="1:19" ht="12">
      <c r="A355" s="234"/>
      <c r="B355" s="29"/>
      <c r="C355" s="29"/>
      <c r="D355" s="29"/>
      <c r="E355" s="198"/>
      <c r="F355" s="29"/>
      <c r="G355" s="29"/>
      <c r="H355" s="29"/>
      <c r="I355" s="235"/>
      <c r="J355" s="236"/>
      <c r="K355" s="29"/>
      <c r="L355" s="29"/>
      <c r="M355" s="29"/>
      <c r="N355" s="29"/>
      <c r="O355" s="29"/>
      <c r="P355" s="29"/>
      <c r="Q355" s="29"/>
      <c r="R355" s="29"/>
      <c r="S355" s="29"/>
    </row>
    <row r="356" spans="1:19" ht="12">
      <c r="A356" s="234"/>
      <c r="B356" s="29"/>
      <c r="C356" s="29"/>
      <c r="D356" s="29"/>
      <c r="E356" s="198"/>
      <c r="F356" s="29"/>
      <c r="G356" s="29"/>
      <c r="H356" s="29"/>
      <c r="I356" s="235"/>
      <c r="J356" s="236"/>
      <c r="K356" s="29"/>
      <c r="L356" s="29"/>
      <c r="M356" s="29"/>
      <c r="N356" s="29"/>
      <c r="O356" s="29"/>
      <c r="P356" s="29"/>
      <c r="Q356" s="29"/>
      <c r="R356" s="29"/>
      <c r="S356" s="29"/>
    </row>
    <row r="357" spans="1:19" ht="12">
      <c r="A357" s="234"/>
      <c r="B357" s="29"/>
      <c r="C357" s="29"/>
      <c r="D357" s="29"/>
      <c r="E357" s="198"/>
      <c r="F357" s="29"/>
      <c r="G357" s="29"/>
      <c r="H357" s="29"/>
      <c r="I357" s="235"/>
      <c r="J357" s="236"/>
      <c r="K357" s="29"/>
      <c r="L357" s="29"/>
      <c r="M357" s="29"/>
      <c r="N357" s="29"/>
      <c r="O357" s="29"/>
      <c r="P357" s="29"/>
      <c r="Q357" s="29"/>
      <c r="R357" s="29"/>
      <c r="S357" s="29"/>
    </row>
    <row r="358" spans="1:19" ht="12">
      <c r="A358" s="234"/>
      <c r="B358" s="29"/>
      <c r="C358" s="29"/>
      <c r="D358" s="29"/>
      <c r="E358" s="198"/>
      <c r="F358" s="29"/>
      <c r="G358" s="29"/>
      <c r="H358" s="29"/>
      <c r="I358" s="235"/>
      <c r="J358" s="236"/>
      <c r="K358" s="29"/>
      <c r="L358" s="29"/>
      <c r="M358" s="29"/>
      <c r="N358" s="29"/>
      <c r="O358" s="29"/>
      <c r="P358" s="29"/>
      <c r="Q358" s="29"/>
      <c r="R358" s="29"/>
      <c r="S358" s="29"/>
    </row>
    <row r="359" spans="1:19" ht="12">
      <c r="A359" s="234"/>
      <c r="B359" s="29"/>
      <c r="C359" s="29"/>
      <c r="D359" s="29"/>
      <c r="E359" s="198"/>
      <c r="F359" s="29"/>
      <c r="G359" s="29"/>
      <c r="H359" s="29"/>
      <c r="I359" s="235"/>
      <c r="J359" s="236"/>
      <c r="K359" s="29"/>
      <c r="L359" s="29"/>
      <c r="M359" s="29"/>
      <c r="N359" s="29"/>
      <c r="O359" s="29"/>
      <c r="P359" s="29"/>
      <c r="Q359" s="29"/>
      <c r="R359" s="29"/>
      <c r="S359" s="29"/>
    </row>
    <row r="360" spans="1:19" ht="12">
      <c r="A360" s="234"/>
      <c r="B360" s="29"/>
      <c r="C360" s="29"/>
      <c r="D360" s="29"/>
      <c r="E360" s="198"/>
      <c r="F360" s="29"/>
      <c r="G360" s="29"/>
      <c r="H360" s="29"/>
      <c r="I360" s="235"/>
      <c r="J360" s="236"/>
      <c r="K360" s="29"/>
      <c r="L360" s="29"/>
      <c r="M360" s="29"/>
      <c r="N360" s="29"/>
      <c r="O360" s="29"/>
      <c r="P360" s="29"/>
      <c r="Q360" s="29"/>
      <c r="R360" s="29"/>
      <c r="S360" s="29"/>
    </row>
    <row r="361" spans="1:19" ht="12">
      <c r="A361" s="234"/>
      <c r="B361" s="29"/>
      <c r="C361" s="29"/>
      <c r="D361" s="29"/>
      <c r="E361" s="198"/>
      <c r="F361" s="29"/>
      <c r="G361" s="29"/>
      <c r="H361" s="29"/>
      <c r="I361" s="235"/>
      <c r="J361" s="236"/>
      <c r="K361" s="29"/>
      <c r="L361" s="29"/>
      <c r="M361" s="29"/>
      <c r="N361" s="29"/>
      <c r="O361" s="29"/>
      <c r="P361" s="29"/>
      <c r="Q361" s="29"/>
      <c r="R361" s="29"/>
      <c r="S361" s="29"/>
    </row>
    <row r="362" spans="1:19" ht="12">
      <c r="A362" s="234"/>
      <c r="B362" s="29"/>
      <c r="C362" s="29"/>
      <c r="D362" s="29"/>
      <c r="E362" s="198"/>
      <c r="F362" s="29"/>
      <c r="G362" s="29"/>
      <c r="H362" s="29"/>
      <c r="I362" s="235"/>
      <c r="J362" s="236"/>
      <c r="K362" s="29"/>
      <c r="L362" s="29"/>
      <c r="M362" s="29"/>
      <c r="N362" s="29"/>
      <c r="O362" s="29"/>
      <c r="P362" s="29"/>
      <c r="Q362" s="29"/>
      <c r="R362" s="29"/>
      <c r="S362" s="29"/>
    </row>
    <row r="363" spans="1:19" ht="12">
      <c r="A363" s="234"/>
      <c r="B363" s="29"/>
      <c r="C363" s="29"/>
      <c r="D363" s="29"/>
      <c r="E363" s="198"/>
      <c r="F363" s="29"/>
      <c r="G363" s="29"/>
      <c r="H363" s="29"/>
      <c r="I363" s="235"/>
      <c r="J363" s="236"/>
      <c r="K363" s="29"/>
      <c r="L363" s="29"/>
      <c r="M363" s="29"/>
      <c r="N363" s="29"/>
      <c r="O363" s="29"/>
      <c r="P363" s="29"/>
      <c r="Q363" s="29"/>
      <c r="R363" s="29"/>
      <c r="S363" s="29"/>
    </row>
    <row r="364" spans="1:19" ht="12.75">
      <c r="A364" s="234"/>
      <c r="B364" s="29"/>
      <c r="C364" s="29"/>
      <c r="D364" s="29"/>
      <c r="E364" s="248"/>
      <c r="F364" s="66"/>
      <c r="G364" s="66"/>
      <c r="H364" s="66"/>
      <c r="I364" s="249"/>
      <c r="J364" s="250"/>
      <c r="K364" s="29"/>
      <c r="L364" s="29"/>
      <c r="M364" s="29"/>
      <c r="N364" s="29"/>
      <c r="O364" s="29"/>
      <c r="P364" s="29"/>
      <c r="Q364" s="29"/>
      <c r="R364" s="29"/>
      <c r="S364" s="29"/>
    </row>
    <row r="365" spans="1:19" ht="12.75">
      <c r="A365" s="234"/>
      <c r="B365" s="29"/>
      <c r="C365" s="29"/>
      <c r="D365" s="29"/>
      <c r="E365" s="248"/>
      <c r="F365" s="66"/>
      <c r="G365" s="66"/>
      <c r="H365" s="66"/>
      <c r="I365" s="249"/>
      <c r="J365" s="250"/>
      <c r="K365" s="29"/>
      <c r="L365" s="29"/>
      <c r="M365" s="29"/>
      <c r="N365" s="29"/>
      <c r="O365" s="29"/>
      <c r="P365" s="29"/>
      <c r="Q365" s="29"/>
      <c r="R365" s="29"/>
      <c r="S365" s="29"/>
    </row>
    <row r="366" spans="1:19" ht="12.75">
      <c r="A366" s="234"/>
      <c r="B366" s="29"/>
      <c r="C366" s="29"/>
      <c r="D366" s="29"/>
      <c r="E366" s="248"/>
      <c r="F366" s="66"/>
      <c r="G366" s="66"/>
      <c r="H366" s="66"/>
      <c r="I366" s="249"/>
      <c r="J366" s="250"/>
      <c r="K366" s="29"/>
      <c r="L366" s="29"/>
      <c r="M366" s="29"/>
      <c r="N366" s="29"/>
      <c r="O366" s="29"/>
      <c r="P366" s="29"/>
      <c r="Q366" s="29"/>
      <c r="R366" s="29"/>
      <c r="S366" s="29"/>
    </row>
    <row r="367" spans="1:19" ht="12.75">
      <c r="A367" s="234"/>
      <c r="B367" s="29"/>
      <c r="C367" s="29"/>
      <c r="D367" s="29"/>
      <c r="E367" s="248"/>
      <c r="F367" s="66"/>
      <c r="G367" s="66"/>
      <c r="H367" s="66"/>
      <c r="I367" s="249"/>
      <c r="J367" s="250"/>
      <c r="K367" s="29"/>
      <c r="L367" s="29"/>
      <c r="M367" s="29"/>
      <c r="N367" s="29"/>
      <c r="O367" s="29"/>
      <c r="P367" s="29"/>
      <c r="Q367" s="29"/>
      <c r="R367" s="29"/>
      <c r="S367" s="29"/>
    </row>
    <row r="368" spans="1:19" ht="12.75">
      <c r="A368" s="234"/>
      <c r="B368" s="29"/>
      <c r="C368" s="29"/>
      <c r="D368" s="29"/>
      <c r="E368" s="248"/>
      <c r="F368" s="66"/>
      <c r="G368" s="66"/>
      <c r="H368" s="66"/>
      <c r="I368" s="249"/>
      <c r="J368" s="250"/>
      <c r="K368" s="29"/>
      <c r="L368" s="29"/>
      <c r="M368" s="29"/>
      <c r="N368" s="29"/>
      <c r="O368" s="29"/>
      <c r="P368" s="29"/>
      <c r="Q368" s="29"/>
      <c r="R368" s="29"/>
      <c r="S368" s="29"/>
    </row>
    <row r="369" spans="1:19" ht="12.75">
      <c r="A369" s="234"/>
      <c r="B369" s="29"/>
      <c r="C369" s="29"/>
      <c r="D369" s="29"/>
      <c r="E369" s="248"/>
      <c r="F369" s="66"/>
      <c r="G369" s="66"/>
      <c r="H369" s="66"/>
      <c r="I369" s="249"/>
      <c r="J369" s="250"/>
      <c r="K369" s="29"/>
      <c r="L369" s="29"/>
      <c r="M369" s="29"/>
      <c r="N369" s="29"/>
      <c r="O369" s="29"/>
      <c r="P369" s="29"/>
      <c r="Q369" s="29"/>
      <c r="R369" s="29"/>
      <c r="S369" s="29"/>
    </row>
    <row r="370" spans="1:19" ht="12.75">
      <c r="A370" s="234"/>
      <c r="B370" s="29"/>
      <c r="C370" s="29"/>
      <c r="D370" s="29"/>
      <c r="E370" s="248"/>
      <c r="F370" s="66"/>
      <c r="G370" s="66"/>
      <c r="H370" s="66"/>
      <c r="I370" s="249"/>
      <c r="J370" s="250"/>
      <c r="K370" s="29"/>
      <c r="L370" s="29"/>
      <c r="M370" s="29"/>
      <c r="N370" s="29"/>
      <c r="O370" s="29"/>
      <c r="P370" s="29"/>
      <c r="Q370" s="29"/>
      <c r="R370" s="29"/>
      <c r="S370" s="29"/>
    </row>
    <row r="371" spans="1:19" ht="12.75">
      <c r="A371" s="234"/>
      <c r="B371" s="29"/>
      <c r="C371" s="29"/>
      <c r="D371" s="29"/>
      <c r="E371" s="248"/>
      <c r="F371" s="66"/>
      <c r="G371" s="66"/>
      <c r="H371" s="66"/>
      <c r="I371" s="249"/>
      <c r="J371" s="250"/>
      <c r="K371" s="29"/>
      <c r="L371" s="29"/>
      <c r="M371" s="29"/>
      <c r="N371" s="29"/>
      <c r="O371" s="29"/>
      <c r="P371" s="29"/>
      <c r="Q371" s="29"/>
      <c r="R371" s="29"/>
      <c r="S371" s="29"/>
    </row>
    <row r="372" spans="1:19" ht="12.75">
      <c r="A372" s="234"/>
      <c r="B372" s="29"/>
      <c r="C372" s="29"/>
      <c r="D372" s="29"/>
      <c r="E372" s="248"/>
      <c r="F372" s="66"/>
      <c r="G372" s="66"/>
      <c r="H372" s="66"/>
      <c r="I372" s="249"/>
      <c r="J372" s="250"/>
      <c r="K372" s="29"/>
      <c r="L372" s="29"/>
      <c r="M372" s="29"/>
      <c r="N372" s="29"/>
      <c r="O372" s="29"/>
      <c r="P372" s="29"/>
      <c r="Q372" s="29"/>
      <c r="R372" s="29"/>
      <c r="S372" s="29"/>
    </row>
    <row r="373" spans="1:19" ht="12.75">
      <c r="A373" s="234"/>
      <c r="B373" s="29"/>
      <c r="C373" s="29"/>
      <c r="D373" s="29"/>
      <c r="E373" s="248"/>
      <c r="F373" s="66"/>
      <c r="G373" s="66"/>
      <c r="H373" s="66"/>
      <c r="I373" s="249"/>
      <c r="J373" s="250"/>
      <c r="K373" s="29"/>
      <c r="L373" s="29"/>
      <c r="M373" s="29"/>
      <c r="N373" s="29"/>
      <c r="O373" s="29"/>
      <c r="P373" s="29"/>
      <c r="Q373" s="29"/>
      <c r="R373" s="29"/>
      <c r="S373" s="29"/>
    </row>
    <row r="374" spans="1:19" ht="12.75">
      <c r="A374" s="234"/>
      <c r="B374" s="29"/>
      <c r="C374" s="29"/>
      <c r="D374" s="29"/>
      <c r="E374" s="248"/>
      <c r="F374" s="66"/>
      <c r="G374" s="66"/>
      <c r="H374" s="66"/>
      <c r="I374" s="249"/>
      <c r="J374" s="250"/>
      <c r="K374" s="29"/>
      <c r="L374" s="29"/>
      <c r="M374" s="29"/>
      <c r="N374" s="29"/>
      <c r="O374" s="29"/>
      <c r="P374" s="29"/>
      <c r="Q374" s="29"/>
      <c r="R374" s="29"/>
      <c r="S374" s="29"/>
    </row>
    <row r="375" spans="1:19" ht="12.75">
      <c r="A375" s="234"/>
      <c r="B375" s="29"/>
      <c r="C375" s="29"/>
      <c r="D375" s="29"/>
      <c r="E375" s="248"/>
      <c r="F375" s="66"/>
      <c r="G375" s="66"/>
      <c r="H375" s="66"/>
      <c r="I375" s="249"/>
      <c r="J375" s="250"/>
      <c r="K375" s="29"/>
      <c r="L375" s="29"/>
      <c r="M375" s="29"/>
      <c r="N375" s="29"/>
      <c r="O375" s="29"/>
      <c r="P375" s="29"/>
      <c r="Q375" s="29"/>
      <c r="R375" s="29"/>
      <c r="S375" s="29"/>
    </row>
    <row r="376" spans="1:19" ht="12.75">
      <c r="A376" s="234"/>
      <c r="B376" s="29"/>
      <c r="C376" s="29"/>
      <c r="D376" s="29"/>
      <c r="E376" s="248"/>
      <c r="F376" s="66"/>
      <c r="G376" s="66"/>
      <c r="H376" s="66"/>
      <c r="I376" s="249"/>
      <c r="J376" s="250"/>
      <c r="K376" s="29"/>
      <c r="L376" s="29"/>
      <c r="M376" s="29"/>
      <c r="N376" s="29"/>
      <c r="O376" s="29"/>
      <c r="P376" s="29"/>
      <c r="Q376" s="29"/>
      <c r="R376" s="29"/>
      <c r="S376" s="29"/>
    </row>
    <row r="377" spans="1:19" ht="12.75">
      <c r="A377" s="234"/>
      <c r="B377" s="29"/>
      <c r="C377" s="29"/>
      <c r="D377" s="29"/>
      <c r="E377" s="248"/>
      <c r="F377" s="66"/>
      <c r="G377" s="66"/>
      <c r="H377" s="66"/>
      <c r="I377" s="249"/>
      <c r="J377" s="250"/>
      <c r="K377" s="29"/>
      <c r="L377" s="29"/>
      <c r="M377" s="29"/>
      <c r="N377" s="29"/>
      <c r="O377" s="29"/>
      <c r="P377" s="29"/>
      <c r="Q377" s="29"/>
      <c r="R377" s="29"/>
      <c r="S377" s="29"/>
    </row>
    <row r="378" spans="1:19" ht="12.75">
      <c r="A378" s="234"/>
      <c r="B378" s="29"/>
      <c r="C378" s="29"/>
      <c r="D378" s="29"/>
      <c r="E378" s="248"/>
      <c r="F378" s="66"/>
      <c r="G378" s="66"/>
      <c r="H378" s="66"/>
      <c r="I378" s="249"/>
      <c r="J378" s="250"/>
      <c r="K378" s="29"/>
      <c r="L378" s="29"/>
      <c r="M378" s="29"/>
      <c r="N378" s="29"/>
      <c r="O378" s="29"/>
      <c r="P378" s="29"/>
      <c r="Q378" s="29"/>
      <c r="R378" s="29"/>
      <c r="S378" s="29"/>
    </row>
    <row r="379" spans="1:19" ht="12.75">
      <c r="A379" s="234"/>
      <c r="B379" s="29"/>
      <c r="C379" s="29"/>
      <c r="D379" s="29"/>
      <c r="E379" s="248"/>
      <c r="F379" s="66"/>
      <c r="G379" s="66"/>
      <c r="H379" s="66"/>
      <c r="I379" s="249"/>
      <c r="K379" s="29"/>
      <c r="L379" s="29"/>
      <c r="M379" s="29"/>
      <c r="N379" s="29"/>
      <c r="O379" s="29"/>
      <c r="P379" s="29"/>
      <c r="Q379" s="29"/>
      <c r="R379" s="29"/>
      <c r="S379" s="29"/>
    </row>
    <row r="380" spans="1:19" ht="12.75">
      <c r="A380" s="234"/>
      <c r="B380" s="29"/>
      <c r="C380" s="29"/>
      <c r="D380" s="29"/>
      <c r="E380" s="248"/>
      <c r="F380" s="66"/>
      <c r="G380" s="66"/>
      <c r="H380" s="66"/>
      <c r="I380" s="249"/>
      <c r="K380" s="29"/>
      <c r="L380" s="29"/>
      <c r="M380" s="29"/>
      <c r="N380" s="29"/>
      <c r="O380" s="29"/>
      <c r="P380" s="29"/>
      <c r="Q380" s="29"/>
      <c r="R380" s="29"/>
      <c r="S380" s="29"/>
    </row>
    <row r="381" spans="1:19" ht="12.75">
      <c r="A381" s="234"/>
      <c r="B381" s="29"/>
      <c r="C381" s="29"/>
      <c r="D381" s="29"/>
      <c r="E381" s="248"/>
      <c r="F381" s="66"/>
      <c r="G381" s="66"/>
      <c r="H381" s="66"/>
      <c r="I381" s="249"/>
      <c r="K381" s="29"/>
      <c r="L381" s="29"/>
      <c r="M381" s="29"/>
      <c r="N381" s="29"/>
      <c r="O381" s="29"/>
      <c r="P381" s="29"/>
      <c r="Q381" s="29"/>
      <c r="R381" s="29"/>
      <c r="S381" s="29"/>
    </row>
    <row r="382" spans="1:19" ht="12.75">
      <c r="A382" s="234"/>
      <c r="B382" s="29"/>
      <c r="C382" s="29"/>
      <c r="D382" s="29"/>
      <c r="E382" s="248"/>
      <c r="F382" s="66"/>
      <c r="G382" s="66"/>
      <c r="H382" s="66"/>
      <c r="I382" s="249"/>
      <c r="K382" s="29"/>
      <c r="L382" s="29"/>
      <c r="M382" s="29"/>
      <c r="N382" s="29"/>
      <c r="O382" s="29"/>
      <c r="P382" s="29"/>
      <c r="Q382" s="29"/>
      <c r="R382" s="29"/>
      <c r="S382" s="29"/>
    </row>
    <row r="383" spans="1:19" ht="12.75">
      <c r="A383" s="234"/>
      <c r="B383" s="29"/>
      <c r="C383" s="29"/>
      <c r="D383" s="29"/>
      <c r="E383" s="248"/>
      <c r="F383" s="66"/>
      <c r="G383" s="66"/>
      <c r="H383" s="66"/>
      <c r="I383" s="249"/>
      <c r="K383" s="29"/>
      <c r="L383" s="29"/>
      <c r="M383" s="29"/>
      <c r="N383" s="29"/>
      <c r="O383" s="29"/>
      <c r="P383" s="29"/>
      <c r="Q383" s="29"/>
      <c r="R383" s="29"/>
      <c r="S383" s="29"/>
    </row>
    <row r="384" spans="1:19" ht="12.75">
      <c r="A384" s="234"/>
      <c r="B384" s="29"/>
      <c r="C384" s="29"/>
      <c r="D384" s="29"/>
      <c r="E384" s="248"/>
      <c r="F384" s="66"/>
      <c r="G384" s="66"/>
      <c r="H384" s="66"/>
      <c r="I384" s="249"/>
      <c r="K384" s="29"/>
      <c r="L384" s="29"/>
      <c r="M384" s="29"/>
      <c r="N384" s="29"/>
      <c r="O384" s="29"/>
      <c r="P384" s="29"/>
      <c r="Q384" s="29"/>
      <c r="R384" s="29"/>
      <c r="S384" s="29"/>
    </row>
    <row r="385" spans="1:19" ht="12.75">
      <c r="A385" s="234"/>
      <c r="B385" s="29"/>
      <c r="C385" s="29"/>
      <c r="D385" s="29"/>
      <c r="E385" s="248"/>
      <c r="F385" s="66"/>
      <c r="G385" s="66"/>
      <c r="H385" s="66"/>
      <c r="I385" s="249"/>
      <c r="K385" s="29"/>
      <c r="L385" s="29"/>
      <c r="M385" s="29"/>
      <c r="N385" s="29"/>
      <c r="O385" s="29"/>
      <c r="P385" s="29"/>
      <c r="Q385" s="29"/>
      <c r="R385" s="29"/>
      <c r="S385" s="29"/>
    </row>
    <row r="386" spans="1:19" ht="12.75">
      <c r="A386" s="234"/>
      <c r="B386" s="29"/>
      <c r="C386" s="29"/>
      <c r="D386" s="29"/>
      <c r="E386" s="248"/>
      <c r="F386" s="66"/>
      <c r="G386" s="66"/>
      <c r="H386" s="66"/>
      <c r="I386" s="249"/>
      <c r="K386" s="29"/>
      <c r="L386" s="29"/>
      <c r="M386" s="29"/>
      <c r="N386" s="29"/>
      <c r="O386" s="29"/>
      <c r="P386" s="29"/>
      <c r="Q386" s="29"/>
      <c r="R386" s="29"/>
      <c r="S386" s="29"/>
    </row>
    <row r="387" spans="1:19" ht="12.75">
      <c r="A387" s="234"/>
      <c r="B387" s="29"/>
      <c r="C387" s="29"/>
      <c r="D387" s="29"/>
      <c r="E387" s="248"/>
      <c r="F387" s="66"/>
      <c r="G387" s="66"/>
      <c r="H387" s="66"/>
      <c r="I387" s="249"/>
      <c r="K387" s="29"/>
      <c r="L387" s="29"/>
      <c r="M387" s="29"/>
      <c r="N387" s="29"/>
      <c r="O387" s="29"/>
      <c r="P387" s="29"/>
      <c r="Q387" s="29"/>
      <c r="R387" s="29"/>
      <c r="S387" s="29"/>
    </row>
    <row r="388" spans="1:19" ht="12.75">
      <c r="A388" s="234"/>
      <c r="B388" s="29"/>
      <c r="C388" s="29"/>
      <c r="D388" s="29"/>
      <c r="E388" s="248"/>
      <c r="F388" s="66"/>
      <c r="G388" s="66"/>
      <c r="H388" s="66"/>
      <c r="I388" s="249"/>
      <c r="K388" s="29"/>
      <c r="L388" s="29"/>
      <c r="M388" s="29"/>
      <c r="N388" s="29"/>
      <c r="O388" s="29"/>
      <c r="P388" s="29"/>
      <c r="Q388" s="29"/>
      <c r="R388" s="29"/>
      <c r="S388" s="29"/>
    </row>
    <row r="389" spans="1:19" ht="12.75">
      <c r="A389" s="234"/>
      <c r="B389" s="29"/>
      <c r="C389" s="29"/>
      <c r="D389" s="29"/>
      <c r="E389" s="248"/>
      <c r="F389" s="66"/>
      <c r="G389" s="66"/>
      <c r="H389" s="66"/>
      <c r="I389" s="249"/>
      <c r="K389" s="29"/>
      <c r="L389" s="29"/>
      <c r="M389" s="29"/>
      <c r="N389" s="29"/>
      <c r="O389" s="29"/>
      <c r="P389" s="29"/>
      <c r="Q389" s="29"/>
      <c r="R389" s="29"/>
      <c r="S389" s="29"/>
    </row>
    <row r="390" spans="1:19" ht="12.75">
      <c r="A390" s="234"/>
      <c r="B390" s="29"/>
      <c r="C390" s="29"/>
      <c r="D390" s="29"/>
      <c r="E390" s="248"/>
      <c r="F390" s="66"/>
      <c r="G390" s="66"/>
      <c r="H390" s="66"/>
      <c r="I390" s="249"/>
      <c r="K390" s="29"/>
      <c r="L390" s="29"/>
      <c r="M390" s="29"/>
      <c r="N390" s="29"/>
      <c r="O390" s="29"/>
      <c r="P390" s="29"/>
      <c r="Q390" s="29"/>
      <c r="R390" s="29"/>
      <c r="S390" s="29"/>
    </row>
    <row r="391" spans="1:19" ht="12.75">
      <c r="A391" s="234"/>
      <c r="B391" s="29"/>
      <c r="C391" s="29"/>
      <c r="D391" s="29"/>
      <c r="E391" s="248"/>
      <c r="F391" s="66"/>
      <c r="G391" s="66"/>
      <c r="H391" s="66"/>
      <c r="I391" s="249"/>
      <c r="K391" s="29"/>
      <c r="L391" s="29"/>
      <c r="M391" s="29"/>
      <c r="N391" s="29"/>
      <c r="O391" s="29"/>
      <c r="P391" s="29"/>
      <c r="Q391" s="29"/>
      <c r="R391" s="29"/>
      <c r="S391" s="29"/>
    </row>
    <row r="392" spans="1:19" ht="12.75">
      <c r="A392" s="234"/>
      <c r="B392" s="29"/>
      <c r="C392" s="29"/>
      <c r="D392" s="29"/>
      <c r="E392" s="248"/>
      <c r="F392" s="66"/>
      <c r="G392" s="66"/>
      <c r="H392" s="66"/>
      <c r="I392" s="249"/>
      <c r="K392" s="29"/>
      <c r="L392" s="29"/>
      <c r="M392" s="29"/>
      <c r="N392" s="29"/>
      <c r="O392" s="29"/>
      <c r="P392" s="29"/>
      <c r="Q392" s="29"/>
      <c r="R392" s="29"/>
      <c r="S392" s="29"/>
    </row>
    <row r="393" spans="1:19" ht="12.75">
      <c r="A393" s="234"/>
      <c r="B393" s="29"/>
      <c r="C393" s="29"/>
      <c r="D393" s="29"/>
      <c r="E393" s="248"/>
      <c r="F393" s="66"/>
      <c r="G393" s="66"/>
      <c r="H393" s="66"/>
      <c r="I393" s="249"/>
      <c r="K393" s="29"/>
      <c r="L393" s="29"/>
      <c r="M393" s="29"/>
      <c r="N393" s="29"/>
      <c r="O393" s="29"/>
      <c r="P393" s="29"/>
      <c r="Q393" s="29"/>
      <c r="R393" s="29"/>
      <c r="S393" s="29"/>
    </row>
    <row r="394" spans="1:19" ht="12.75">
      <c r="A394" s="234"/>
      <c r="B394" s="29"/>
      <c r="C394" s="29"/>
      <c r="D394" s="29"/>
      <c r="E394" s="248"/>
      <c r="F394" s="66"/>
      <c r="G394" s="66"/>
      <c r="H394" s="66"/>
      <c r="I394" s="249"/>
      <c r="K394" s="29"/>
      <c r="L394" s="29"/>
      <c r="M394" s="29"/>
      <c r="N394" s="29"/>
      <c r="O394" s="29"/>
      <c r="P394" s="29"/>
      <c r="Q394" s="29"/>
      <c r="R394" s="29"/>
      <c r="S394" s="29"/>
    </row>
    <row r="395" spans="1:19" ht="12.75">
      <c r="A395" s="234"/>
      <c r="B395" s="29"/>
      <c r="C395" s="29"/>
      <c r="D395" s="29"/>
      <c r="E395" s="248"/>
      <c r="F395" s="66"/>
      <c r="G395" s="66"/>
      <c r="H395" s="66"/>
      <c r="I395" s="249"/>
      <c r="K395" s="29"/>
      <c r="L395" s="29"/>
      <c r="M395" s="29"/>
      <c r="N395" s="29"/>
      <c r="O395" s="29"/>
      <c r="P395" s="29"/>
      <c r="Q395" s="29"/>
      <c r="R395" s="29"/>
      <c r="S395" s="29"/>
    </row>
    <row r="396" spans="1:19" ht="12.75">
      <c r="A396" s="234"/>
      <c r="B396" s="29"/>
      <c r="C396" s="29"/>
      <c r="D396" s="29"/>
      <c r="E396" s="248"/>
      <c r="F396" s="66"/>
      <c r="G396" s="66"/>
      <c r="H396" s="66"/>
      <c r="I396" s="249"/>
      <c r="K396" s="29"/>
      <c r="L396" s="29"/>
      <c r="M396" s="29"/>
      <c r="N396" s="29"/>
      <c r="O396" s="29"/>
      <c r="P396" s="29"/>
      <c r="Q396" s="29"/>
      <c r="R396" s="29"/>
      <c r="S396" s="29"/>
    </row>
    <row r="397" spans="1:19" ht="12.75">
      <c r="A397" s="234"/>
      <c r="B397" s="29"/>
      <c r="C397" s="29"/>
      <c r="D397" s="29"/>
      <c r="E397" s="248"/>
      <c r="F397" s="66"/>
      <c r="G397" s="66"/>
      <c r="H397" s="66"/>
      <c r="I397" s="249"/>
      <c r="K397" s="29"/>
      <c r="L397" s="29"/>
      <c r="M397" s="29"/>
      <c r="N397" s="29"/>
      <c r="O397" s="29"/>
      <c r="P397" s="29"/>
      <c r="Q397" s="29"/>
      <c r="R397" s="29"/>
      <c r="S397" s="29"/>
    </row>
    <row r="398" spans="1:19" ht="12.75">
      <c r="A398" s="234"/>
      <c r="B398" s="29"/>
      <c r="C398" s="29"/>
      <c r="D398" s="29"/>
      <c r="E398" s="248"/>
      <c r="F398" s="66"/>
      <c r="G398" s="66"/>
      <c r="H398" s="66"/>
      <c r="I398" s="249"/>
      <c r="K398" s="29"/>
      <c r="L398" s="29"/>
      <c r="M398" s="29"/>
      <c r="N398" s="29"/>
      <c r="O398" s="29"/>
      <c r="P398" s="29"/>
      <c r="Q398" s="29"/>
      <c r="R398" s="29"/>
      <c r="S398" s="29"/>
    </row>
    <row r="399" spans="1:15" ht="12.75">
      <c r="A399" s="234"/>
      <c r="B399" s="29"/>
      <c r="C399" s="29"/>
      <c r="D399" s="29"/>
      <c r="E399" s="248"/>
      <c r="F399" s="66"/>
      <c r="G399" s="66"/>
      <c r="H399" s="66"/>
      <c r="I399" s="249"/>
      <c r="K399" s="29"/>
      <c r="L399" s="29"/>
      <c r="M399" s="29"/>
      <c r="N399" s="29"/>
      <c r="O399" s="275"/>
    </row>
    <row r="400" spans="1:15" ht="12.75">
      <c r="A400" s="234"/>
      <c r="B400" s="29"/>
      <c r="C400" s="29"/>
      <c r="D400" s="29"/>
      <c r="E400" s="248"/>
      <c r="F400" s="66"/>
      <c r="G400" s="66"/>
      <c r="H400" s="66"/>
      <c r="I400" s="249"/>
      <c r="K400" s="29"/>
      <c r="L400" s="29"/>
      <c r="M400" s="29"/>
      <c r="N400" s="29"/>
      <c r="O400" s="275"/>
    </row>
    <row r="401" spans="1:15" ht="12.75">
      <c r="A401" s="234"/>
      <c r="B401" s="29"/>
      <c r="C401" s="29"/>
      <c r="D401" s="29"/>
      <c r="E401" s="248"/>
      <c r="F401" s="66"/>
      <c r="G401" s="66"/>
      <c r="H401" s="66"/>
      <c r="I401" s="249"/>
      <c r="K401" s="29"/>
      <c r="L401" s="29"/>
      <c r="M401" s="29"/>
      <c r="N401" s="29"/>
      <c r="O401" s="275"/>
    </row>
    <row r="402" spans="1:15" ht="12.75">
      <c r="A402" s="234"/>
      <c r="B402" s="29"/>
      <c r="C402" s="29"/>
      <c r="D402" s="29"/>
      <c r="E402" s="248"/>
      <c r="F402" s="66"/>
      <c r="G402" s="66"/>
      <c r="H402" s="66"/>
      <c r="I402" s="249"/>
      <c r="K402" s="29"/>
      <c r="L402" s="29"/>
      <c r="M402" s="29"/>
      <c r="N402" s="29"/>
      <c r="O402" s="275"/>
    </row>
    <row r="403" spans="1:15" ht="12.75">
      <c r="A403" s="234"/>
      <c r="B403" s="29"/>
      <c r="C403" s="29"/>
      <c r="D403" s="29"/>
      <c r="E403" s="248"/>
      <c r="F403" s="66"/>
      <c r="G403" s="66"/>
      <c r="H403" s="66"/>
      <c r="I403" s="249"/>
      <c r="K403" s="29"/>
      <c r="L403" s="29"/>
      <c r="M403" s="29"/>
      <c r="N403" s="29"/>
      <c r="O403" s="275"/>
    </row>
    <row r="404" spans="1:15" ht="12.75">
      <c r="A404" s="234"/>
      <c r="B404" s="29"/>
      <c r="C404" s="29"/>
      <c r="D404" s="29"/>
      <c r="E404" s="248"/>
      <c r="F404" s="66"/>
      <c r="G404" s="66"/>
      <c r="H404" s="66"/>
      <c r="I404" s="249"/>
      <c r="K404" s="29"/>
      <c r="L404" s="29"/>
      <c r="M404" s="29"/>
      <c r="N404" s="29"/>
      <c r="O404" s="275"/>
    </row>
    <row r="405" spans="1:15" ht="12.75">
      <c r="A405" s="234"/>
      <c r="B405" s="29"/>
      <c r="C405" s="29"/>
      <c r="D405" s="29"/>
      <c r="E405" s="248"/>
      <c r="F405" s="66"/>
      <c r="G405" s="66"/>
      <c r="H405" s="66"/>
      <c r="I405" s="249"/>
      <c r="K405" s="29"/>
      <c r="L405" s="29"/>
      <c r="M405" s="29"/>
      <c r="N405" s="29"/>
      <c r="O405" s="275"/>
    </row>
    <row r="406" spans="1:15" ht="12.75">
      <c r="A406" s="234"/>
      <c r="B406" s="29"/>
      <c r="C406" s="29"/>
      <c r="D406" s="29"/>
      <c r="E406" s="248"/>
      <c r="F406" s="66"/>
      <c r="G406" s="66"/>
      <c r="H406" s="66"/>
      <c r="I406" s="249"/>
      <c r="K406" s="29"/>
      <c r="L406" s="29"/>
      <c r="M406" s="29"/>
      <c r="N406" s="29"/>
      <c r="O406" s="275"/>
    </row>
    <row r="407" spans="1:15" ht="12.75">
      <c r="A407" s="234"/>
      <c r="B407" s="29"/>
      <c r="C407" s="29"/>
      <c r="D407" s="29"/>
      <c r="E407" s="248"/>
      <c r="F407" s="66"/>
      <c r="G407" s="66"/>
      <c r="H407" s="66"/>
      <c r="I407" s="249"/>
      <c r="K407" s="29"/>
      <c r="L407" s="29"/>
      <c r="M407" s="29"/>
      <c r="N407" s="29"/>
      <c r="O407" s="275"/>
    </row>
    <row r="408" spans="1:15" ht="12.75">
      <c r="A408" s="234"/>
      <c r="B408" s="29"/>
      <c r="C408" s="29"/>
      <c r="D408" s="29"/>
      <c r="E408" s="248"/>
      <c r="F408" s="66"/>
      <c r="G408" s="66"/>
      <c r="H408" s="66"/>
      <c r="I408" s="249"/>
      <c r="K408" s="29"/>
      <c r="L408" s="29"/>
      <c r="M408" s="29"/>
      <c r="N408" s="29"/>
      <c r="O408" s="275"/>
    </row>
    <row r="409" spans="1:15" ht="12.75">
      <c r="A409" s="234"/>
      <c r="B409" s="29"/>
      <c r="C409" s="29"/>
      <c r="D409" s="29"/>
      <c r="E409" s="248"/>
      <c r="F409" s="66"/>
      <c r="G409" s="66"/>
      <c r="H409" s="66"/>
      <c r="I409" s="249"/>
      <c r="K409" s="29"/>
      <c r="L409" s="29"/>
      <c r="M409" s="29"/>
      <c r="N409" s="29"/>
      <c r="O409" s="275"/>
    </row>
    <row r="410" spans="1:15" ht="12.75">
      <c r="A410" s="234"/>
      <c r="B410" s="29"/>
      <c r="C410" s="29"/>
      <c r="D410" s="29"/>
      <c r="E410" s="248"/>
      <c r="F410" s="66"/>
      <c r="G410" s="66"/>
      <c r="H410" s="66"/>
      <c r="I410" s="249"/>
      <c r="K410" s="29"/>
      <c r="L410" s="29"/>
      <c r="M410" s="29"/>
      <c r="N410" s="29"/>
      <c r="O410" s="275"/>
    </row>
    <row r="411" spans="1:15" ht="12.75">
      <c r="A411" s="234"/>
      <c r="B411" s="29"/>
      <c r="C411" s="29"/>
      <c r="D411" s="29"/>
      <c r="E411" s="248"/>
      <c r="F411" s="66"/>
      <c r="G411" s="66"/>
      <c r="H411" s="66"/>
      <c r="I411" s="249"/>
      <c r="K411" s="29"/>
      <c r="L411" s="29"/>
      <c r="M411" s="29"/>
      <c r="N411" s="29"/>
      <c r="O411" s="275"/>
    </row>
    <row r="412" spans="1:15" ht="12.75">
      <c r="A412" s="234"/>
      <c r="B412" s="29"/>
      <c r="C412" s="29"/>
      <c r="D412" s="29"/>
      <c r="E412" s="248"/>
      <c r="F412" s="66"/>
      <c r="G412" s="66"/>
      <c r="H412" s="66"/>
      <c r="I412" s="249"/>
      <c r="K412" s="29"/>
      <c r="L412" s="29"/>
      <c r="M412" s="29"/>
      <c r="N412" s="29"/>
      <c r="O412" s="275"/>
    </row>
    <row r="413" spans="1:15" ht="12.75">
      <c r="A413" s="234"/>
      <c r="B413" s="29"/>
      <c r="C413" s="29"/>
      <c r="D413" s="29"/>
      <c r="E413" s="248"/>
      <c r="F413" s="66"/>
      <c r="G413" s="66"/>
      <c r="H413" s="66"/>
      <c r="I413" s="249"/>
      <c r="K413" s="29"/>
      <c r="L413" s="29"/>
      <c r="M413" s="29"/>
      <c r="N413" s="29"/>
      <c r="O413" s="275"/>
    </row>
    <row r="414" spans="1:15" ht="12.75">
      <c r="A414" s="234"/>
      <c r="B414" s="29"/>
      <c r="C414" s="29"/>
      <c r="D414" s="29"/>
      <c r="E414" s="248"/>
      <c r="F414" s="66"/>
      <c r="G414" s="66"/>
      <c r="H414" s="66"/>
      <c r="I414" s="249"/>
      <c r="K414" s="29"/>
      <c r="L414" s="29"/>
      <c r="M414" s="29"/>
      <c r="N414" s="29"/>
      <c r="O414" s="275"/>
    </row>
    <row r="415" spans="1:15" ht="12.75">
      <c r="A415" s="234"/>
      <c r="B415" s="29"/>
      <c r="C415" s="29"/>
      <c r="D415" s="29"/>
      <c r="E415" s="248"/>
      <c r="F415" s="66"/>
      <c r="G415" s="66"/>
      <c r="H415" s="66"/>
      <c r="I415" s="249"/>
      <c r="K415" s="29"/>
      <c r="L415" s="29"/>
      <c r="M415" s="29"/>
      <c r="N415" s="29"/>
      <c r="O415" s="275"/>
    </row>
    <row r="416" spans="1:15" ht="12.75">
      <c r="A416" s="234"/>
      <c r="B416" s="29"/>
      <c r="C416" s="29"/>
      <c r="D416" s="29"/>
      <c r="E416" s="248"/>
      <c r="F416" s="66"/>
      <c r="G416" s="66"/>
      <c r="H416" s="66"/>
      <c r="I416" s="249"/>
      <c r="K416" s="29"/>
      <c r="L416" s="29"/>
      <c r="M416" s="29"/>
      <c r="N416" s="29"/>
      <c r="O416" s="275"/>
    </row>
    <row r="417" spans="1:15" ht="12.75">
      <c r="A417" s="234"/>
      <c r="B417" s="29"/>
      <c r="C417" s="29"/>
      <c r="D417" s="29"/>
      <c r="E417" s="248"/>
      <c r="F417" s="66"/>
      <c r="G417" s="66"/>
      <c r="H417" s="66"/>
      <c r="I417" s="249"/>
      <c r="K417" s="29"/>
      <c r="L417" s="29"/>
      <c r="M417" s="29"/>
      <c r="N417" s="29"/>
      <c r="O417" s="275"/>
    </row>
    <row r="418" spans="1:15" ht="12.75">
      <c r="A418" s="234"/>
      <c r="B418" s="29"/>
      <c r="C418" s="29"/>
      <c r="D418" s="29"/>
      <c r="E418" s="248"/>
      <c r="F418" s="66"/>
      <c r="G418" s="66"/>
      <c r="H418" s="66"/>
      <c r="I418" s="249"/>
      <c r="K418" s="29"/>
      <c r="L418" s="29"/>
      <c r="M418" s="29"/>
      <c r="N418" s="29"/>
      <c r="O418" s="275"/>
    </row>
    <row r="419" spans="1:15" ht="12.75">
      <c r="A419" s="234"/>
      <c r="B419" s="29"/>
      <c r="C419" s="29"/>
      <c r="D419" s="29"/>
      <c r="E419" s="248"/>
      <c r="F419" s="66"/>
      <c r="G419" s="66"/>
      <c r="H419" s="66"/>
      <c r="I419" s="249"/>
      <c r="K419" s="29"/>
      <c r="L419" s="29"/>
      <c r="M419" s="29"/>
      <c r="N419" s="29"/>
      <c r="O419" s="275"/>
    </row>
    <row r="420" spans="1:15" ht="12.75">
      <c r="A420" s="234"/>
      <c r="B420" s="29"/>
      <c r="C420" s="29"/>
      <c r="D420" s="29"/>
      <c r="E420" s="248"/>
      <c r="F420" s="66"/>
      <c r="G420" s="66"/>
      <c r="H420" s="66"/>
      <c r="I420" s="249"/>
      <c r="K420" s="29"/>
      <c r="L420" s="29"/>
      <c r="M420" s="29"/>
      <c r="N420" s="29"/>
      <c r="O420" s="275"/>
    </row>
    <row r="421" spans="1:15" ht="12.75">
      <c r="A421" s="234"/>
      <c r="B421" s="29"/>
      <c r="C421" s="29"/>
      <c r="D421" s="29"/>
      <c r="E421" s="248"/>
      <c r="F421" s="66"/>
      <c r="G421" s="66"/>
      <c r="H421" s="66"/>
      <c r="I421" s="249"/>
      <c r="K421" s="29"/>
      <c r="L421" s="29"/>
      <c r="M421" s="29"/>
      <c r="N421" s="29"/>
      <c r="O421" s="275"/>
    </row>
    <row r="422" spans="1:15" ht="12.75">
      <c r="A422" s="234"/>
      <c r="B422" s="29"/>
      <c r="C422" s="29"/>
      <c r="D422" s="29"/>
      <c r="E422" s="248"/>
      <c r="F422" s="66"/>
      <c r="G422" s="66"/>
      <c r="H422" s="66"/>
      <c r="I422" s="249"/>
      <c r="K422" s="29"/>
      <c r="L422" s="29"/>
      <c r="M422" s="29"/>
      <c r="N422" s="29"/>
      <c r="O422" s="275"/>
    </row>
    <row r="423" spans="1:15" ht="12.75">
      <c r="A423" s="234"/>
      <c r="B423" s="29"/>
      <c r="C423" s="29"/>
      <c r="D423" s="29"/>
      <c r="E423" s="248"/>
      <c r="F423" s="66"/>
      <c r="G423" s="66"/>
      <c r="H423" s="66"/>
      <c r="I423" s="249"/>
      <c r="K423" s="29"/>
      <c r="L423" s="29"/>
      <c r="M423" s="29"/>
      <c r="N423" s="29"/>
      <c r="O423" s="275"/>
    </row>
    <row r="424" spans="1:15" ht="12.75">
      <c r="A424" s="234"/>
      <c r="B424" s="29"/>
      <c r="C424" s="29"/>
      <c r="D424" s="29"/>
      <c r="E424" s="248"/>
      <c r="F424" s="66"/>
      <c r="G424" s="66"/>
      <c r="H424" s="66"/>
      <c r="I424" s="249"/>
      <c r="K424" s="29"/>
      <c r="L424" s="29"/>
      <c r="M424" s="29"/>
      <c r="N424" s="29"/>
      <c r="O424" s="275"/>
    </row>
    <row r="425" spans="1:15" ht="12.75">
      <c r="A425" s="234"/>
      <c r="B425" s="29"/>
      <c r="C425" s="29"/>
      <c r="D425" s="29"/>
      <c r="E425" s="248"/>
      <c r="F425" s="66"/>
      <c r="G425" s="66"/>
      <c r="H425" s="66"/>
      <c r="I425" s="249"/>
      <c r="K425" s="29"/>
      <c r="L425" s="29"/>
      <c r="M425" s="29"/>
      <c r="N425" s="29"/>
      <c r="O425" s="275"/>
    </row>
    <row r="426" spans="1:15" ht="12.75">
      <c r="A426" s="234"/>
      <c r="B426" s="29"/>
      <c r="C426" s="29"/>
      <c r="D426" s="29"/>
      <c r="E426" s="248"/>
      <c r="F426" s="66"/>
      <c r="G426" s="66"/>
      <c r="H426" s="66"/>
      <c r="I426" s="249"/>
      <c r="K426" s="29"/>
      <c r="L426" s="29"/>
      <c r="M426" s="29"/>
      <c r="N426" s="29"/>
      <c r="O426" s="275"/>
    </row>
    <row r="427" spans="1:15" ht="12.75">
      <c r="A427" s="234"/>
      <c r="B427" s="29"/>
      <c r="C427" s="29"/>
      <c r="D427" s="29"/>
      <c r="E427" s="248"/>
      <c r="F427" s="66"/>
      <c r="G427" s="66"/>
      <c r="H427" s="66"/>
      <c r="I427" s="249"/>
      <c r="K427" s="29"/>
      <c r="L427" s="29"/>
      <c r="M427" s="29"/>
      <c r="N427" s="29"/>
      <c r="O427" s="275"/>
    </row>
    <row r="428" spans="1:15" ht="12.75">
      <c r="A428" s="234"/>
      <c r="B428" s="29"/>
      <c r="C428" s="29"/>
      <c r="D428" s="29"/>
      <c r="E428" s="248"/>
      <c r="F428" s="66"/>
      <c r="G428" s="66"/>
      <c r="H428" s="66"/>
      <c r="I428" s="249"/>
      <c r="K428" s="29"/>
      <c r="L428" s="29"/>
      <c r="M428" s="29"/>
      <c r="N428" s="29"/>
      <c r="O428" s="275"/>
    </row>
    <row r="429" spans="1:15" ht="12.75">
      <c r="A429" s="234"/>
      <c r="B429" s="29"/>
      <c r="C429" s="29"/>
      <c r="D429" s="29"/>
      <c r="E429" s="248"/>
      <c r="F429" s="66"/>
      <c r="G429" s="66"/>
      <c r="H429" s="66"/>
      <c r="I429" s="249"/>
      <c r="K429" s="29"/>
      <c r="L429" s="29"/>
      <c r="M429" s="29"/>
      <c r="N429" s="29"/>
      <c r="O429" s="275"/>
    </row>
    <row r="430" spans="1:15" ht="12.75">
      <c r="A430" s="234"/>
      <c r="B430" s="29"/>
      <c r="C430" s="29"/>
      <c r="D430" s="29"/>
      <c r="E430" s="248"/>
      <c r="F430" s="66"/>
      <c r="G430" s="66"/>
      <c r="H430" s="66"/>
      <c r="I430" s="249"/>
      <c r="K430" s="29"/>
      <c r="L430" s="29"/>
      <c r="M430" s="29"/>
      <c r="N430" s="29"/>
      <c r="O430" s="275"/>
    </row>
    <row r="431" spans="1:15" ht="12.75">
      <c r="A431" s="234"/>
      <c r="B431" s="29"/>
      <c r="C431" s="29"/>
      <c r="D431" s="29"/>
      <c r="E431" s="248"/>
      <c r="F431" s="66"/>
      <c r="G431" s="66"/>
      <c r="H431" s="66"/>
      <c r="I431" s="249"/>
      <c r="K431" s="29"/>
      <c r="L431" s="29"/>
      <c r="M431" s="29"/>
      <c r="N431" s="29"/>
      <c r="O431" s="275"/>
    </row>
    <row r="432" spans="1:15" ht="12.75">
      <c r="A432" s="234"/>
      <c r="B432" s="29"/>
      <c r="C432" s="29"/>
      <c r="D432" s="29"/>
      <c r="E432" s="248"/>
      <c r="F432" s="66"/>
      <c r="G432" s="66"/>
      <c r="H432" s="66"/>
      <c r="I432" s="249"/>
      <c r="K432" s="29"/>
      <c r="L432" s="29"/>
      <c r="M432" s="29"/>
      <c r="N432" s="29"/>
      <c r="O432" s="275"/>
    </row>
    <row r="433" spans="1:15" ht="12.75">
      <c r="A433" s="234"/>
      <c r="B433" s="29"/>
      <c r="C433" s="29"/>
      <c r="D433" s="29"/>
      <c r="E433" s="248"/>
      <c r="F433" s="66"/>
      <c r="G433" s="66"/>
      <c r="H433" s="66"/>
      <c r="I433" s="249"/>
      <c r="K433" s="29"/>
      <c r="L433" s="29"/>
      <c r="M433" s="29"/>
      <c r="N433" s="29"/>
      <c r="O433" s="275"/>
    </row>
    <row r="434" spans="1:15" ht="12.75">
      <c r="A434" s="234"/>
      <c r="B434" s="29"/>
      <c r="C434" s="29"/>
      <c r="D434" s="29"/>
      <c r="E434" s="248"/>
      <c r="F434" s="66"/>
      <c r="G434" s="66"/>
      <c r="H434" s="66"/>
      <c r="I434" s="249"/>
      <c r="K434" s="29"/>
      <c r="L434" s="29"/>
      <c r="M434" s="29"/>
      <c r="N434" s="29"/>
      <c r="O434" s="275"/>
    </row>
    <row r="435" spans="1:15" ht="12.75">
      <c r="A435" s="234"/>
      <c r="B435" s="29"/>
      <c r="C435" s="29"/>
      <c r="D435" s="29"/>
      <c r="E435" s="248"/>
      <c r="F435" s="66"/>
      <c r="G435" s="66"/>
      <c r="H435" s="66"/>
      <c r="I435" s="249"/>
      <c r="K435" s="29"/>
      <c r="L435" s="29"/>
      <c r="M435" s="29"/>
      <c r="N435" s="29"/>
      <c r="O435" s="275"/>
    </row>
    <row r="436" spans="1:15" ht="12.75">
      <c r="A436" s="234"/>
      <c r="B436" s="29"/>
      <c r="C436" s="29"/>
      <c r="D436" s="29"/>
      <c r="E436" s="248"/>
      <c r="F436" s="66"/>
      <c r="G436" s="66"/>
      <c r="H436" s="66"/>
      <c r="I436" s="249"/>
      <c r="K436" s="29"/>
      <c r="L436" s="29"/>
      <c r="M436" s="29"/>
      <c r="N436" s="29"/>
      <c r="O436" s="275"/>
    </row>
    <row r="437" spans="1:15" ht="12.75">
      <c r="A437" s="234"/>
      <c r="B437" s="29"/>
      <c r="C437" s="29"/>
      <c r="D437" s="29"/>
      <c r="E437" s="248"/>
      <c r="F437" s="66"/>
      <c r="G437" s="66"/>
      <c r="H437" s="66"/>
      <c r="I437" s="249"/>
      <c r="K437" s="29"/>
      <c r="L437" s="29"/>
      <c r="M437" s="29"/>
      <c r="N437" s="29"/>
      <c r="O437" s="275"/>
    </row>
    <row r="438" spans="1:15" ht="12.75">
      <c r="A438" s="234"/>
      <c r="B438" s="29"/>
      <c r="C438" s="29"/>
      <c r="D438" s="29"/>
      <c r="E438" s="248"/>
      <c r="F438" s="66"/>
      <c r="G438" s="66"/>
      <c r="H438" s="66"/>
      <c r="I438" s="249"/>
      <c r="K438" s="29"/>
      <c r="L438" s="29"/>
      <c r="M438" s="29"/>
      <c r="N438" s="29"/>
      <c r="O438" s="275"/>
    </row>
    <row r="439" spans="1:15" ht="12.75">
      <c r="A439" s="234"/>
      <c r="B439" s="29"/>
      <c r="C439" s="29"/>
      <c r="D439" s="29"/>
      <c r="E439" s="248"/>
      <c r="F439" s="66"/>
      <c r="G439" s="66"/>
      <c r="H439" s="66"/>
      <c r="I439" s="249"/>
      <c r="K439" s="29"/>
      <c r="L439" s="29"/>
      <c r="M439" s="29"/>
      <c r="N439" s="29"/>
      <c r="O439" s="275"/>
    </row>
    <row r="440" spans="1:15" ht="12.75">
      <c r="A440" s="234"/>
      <c r="B440" s="29"/>
      <c r="C440" s="29"/>
      <c r="D440" s="29"/>
      <c r="E440" s="248"/>
      <c r="F440" s="66"/>
      <c r="G440" s="66"/>
      <c r="H440" s="66"/>
      <c r="I440" s="249"/>
      <c r="K440" s="29"/>
      <c r="L440" s="29"/>
      <c r="M440" s="29"/>
      <c r="N440" s="29"/>
      <c r="O440" s="275"/>
    </row>
    <row r="441" spans="1:15" ht="12.75">
      <c r="A441" s="234"/>
      <c r="B441" s="29"/>
      <c r="C441" s="29"/>
      <c r="D441" s="29"/>
      <c r="E441" s="248"/>
      <c r="F441" s="66"/>
      <c r="G441" s="66"/>
      <c r="H441" s="66"/>
      <c r="I441" s="249"/>
      <c r="K441" s="29"/>
      <c r="L441" s="29"/>
      <c r="M441" s="29"/>
      <c r="N441" s="29"/>
      <c r="O441" s="275"/>
    </row>
    <row r="442" spans="1:15" ht="12.75">
      <c r="A442" s="234"/>
      <c r="B442" s="29"/>
      <c r="C442" s="29"/>
      <c r="D442" s="29"/>
      <c r="E442" s="248"/>
      <c r="F442" s="66"/>
      <c r="G442" s="66"/>
      <c r="H442" s="66"/>
      <c r="I442" s="249"/>
      <c r="K442" s="29"/>
      <c r="L442" s="29"/>
      <c r="M442" s="29"/>
      <c r="N442" s="29"/>
      <c r="O442" s="275"/>
    </row>
    <row r="443" spans="1:15" ht="12.75">
      <c r="A443" s="234"/>
      <c r="B443" s="29"/>
      <c r="C443" s="29"/>
      <c r="D443" s="29"/>
      <c r="E443" s="248"/>
      <c r="F443" s="66"/>
      <c r="G443" s="66"/>
      <c r="H443" s="66"/>
      <c r="I443" s="249"/>
      <c r="K443" s="29"/>
      <c r="L443" s="29"/>
      <c r="M443" s="29"/>
      <c r="N443" s="29"/>
      <c r="O443" s="275"/>
    </row>
    <row r="444" spans="1:15" ht="12.75">
      <c r="A444" s="234"/>
      <c r="B444" s="29"/>
      <c r="C444" s="29"/>
      <c r="D444" s="29"/>
      <c r="E444" s="248"/>
      <c r="F444" s="66"/>
      <c r="G444" s="66"/>
      <c r="H444" s="66"/>
      <c r="I444" s="249"/>
      <c r="K444" s="29"/>
      <c r="L444" s="29"/>
      <c r="M444" s="29"/>
      <c r="N444" s="29"/>
      <c r="O444" s="275"/>
    </row>
    <row r="445" spans="1:15" ht="12.75">
      <c r="A445" s="234"/>
      <c r="B445" s="29"/>
      <c r="C445" s="29"/>
      <c r="D445" s="29"/>
      <c r="E445" s="248"/>
      <c r="F445" s="66"/>
      <c r="G445" s="66"/>
      <c r="H445" s="66"/>
      <c r="I445" s="249"/>
      <c r="K445" s="29"/>
      <c r="L445" s="29"/>
      <c r="M445" s="29"/>
      <c r="N445" s="29"/>
      <c r="O445" s="275"/>
    </row>
    <row r="446" spans="1:15" ht="12.75">
      <c r="A446" s="234"/>
      <c r="B446" s="29"/>
      <c r="C446" s="29"/>
      <c r="D446" s="29"/>
      <c r="E446" s="248"/>
      <c r="F446" s="66"/>
      <c r="G446" s="66"/>
      <c r="H446" s="66"/>
      <c r="I446" s="249"/>
      <c r="K446" s="29"/>
      <c r="L446" s="29"/>
      <c r="M446" s="29"/>
      <c r="N446" s="29"/>
      <c r="O446" s="275"/>
    </row>
    <row r="447" spans="1:15" ht="12.75">
      <c r="A447" s="234"/>
      <c r="B447" s="29"/>
      <c r="C447" s="29"/>
      <c r="D447" s="29"/>
      <c r="E447" s="248"/>
      <c r="F447" s="66"/>
      <c r="G447" s="66"/>
      <c r="H447" s="66"/>
      <c r="I447" s="249"/>
      <c r="K447" s="29"/>
      <c r="L447" s="29"/>
      <c r="M447" s="29"/>
      <c r="N447" s="29"/>
      <c r="O447" s="275"/>
    </row>
    <row r="448" spans="1:15" ht="12.75">
      <c r="A448" s="234"/>
      <c r="B448" s="29"/>
      <c r="C448" s="29"/>
      <c r="D448" s="29"/>
      <c r="E448" s="248"/>
      <c r="F448" s="66"/>
      <c r="G448" s="66"/>
      <c r="H448" s="66"/>
      <c r="I448" s="249"/>
      <c r="K448" s="29"/>
      <c r="L448" s="29"/>
      <c r="M448" s="29"/>
      <c r="N448" s="29"/>
      <c r="O448" s="275"/>
    </row>
    <row r="449" spans="1:15" ht="12.75">
      <c r="A449" s="234"/>
      <c r="B449" s="29"/>
      <c r="C449" s="29"/>
      <c r="D449" s="29"/>
      <c r="E449" s="248"/>
      <c r="F449" s="66"/>
      <c r="G449" s="66"/>
      <c r="H449" s="66"/>
      <c r="I449" s="249"/>
      <c r="K449" s="29"/>
      <c r="L449" s="29"/>
      <c r="M449" s="29"/>
      <c r="N449" s="29"/>
      <c r="O449" s="275"/>
    </row>
    <row r="450" spans="1:14" ht="12.75">
      <c r="A450" s="234"/>
      <c r="B450" s="29"/>
      <c r="C450" s="29"/>
      <c r="D450" s="29"/>
      <c r="E450" s="248"/>
      <c r="F450" s="66"/>
      <c r="G450" s="66"/>
      <c r="H450" s="66"/>
      <c r="I450" s="249"/>
      <c r="K450" s="29"/>
      <c r="L450" s="29"/>
      <c r="M450" s="29"/>
      <c r="N450" s="29"/>
    </row>
    <row r="451" spans="1:14" ht="12.75">
      <c r="A451" s="234"/>
      <c r="B451" s="29"/>
      <c r="C451" s="29"/>
      <c r="D451" s="29"/>
      <c r="E451" s="248"/>
      <c r="F451" s="66"/>
      <c r="G451" s="66"/>
      <c r="H451" s="66"/>
      <c r="I451" s="249"/>
      <c r="K451" s="29"/>
      <c r="L451" s="29"/>
      <c r="M451" s="29"/>
      <c r="N451" s="29"/>
    </row>
    <row r="452" spans="1:14" ht="12.75">
      <c r="A452" s="234"/>
      <c r="B452" s="29"/>
      <c r="C452" s="29"/>
      <c r="D452" s="29"/>
      <c r="E452" s="248"/>
      <c r="F452" s="66"/>
      <c r="G452" s="66"/>
      <c r="H452" s="66"/>
      <c r="I452" s="249"/>
      <c r="K452" s="29"/>
      <c r="L452" s="29"/>
      <c r="M452" s="29"/>
      <c r="N452" s="29"/>
    </row>
    <row r="453" spans="1:14" ht="12.75">
      <c r="A453" s="234"/>
      <c r="B453" s="29"/>
      <c r="C453" s="29"/>
      <c r="D453" s="29"/>
      <c r="E453" s="248"/>
      <c r="F453" s="66"/>
      <c r="G453" s="66"/>
      <c r="H453" s="66"/>
      <c r="I453" s="249"/>
      <c r="K453" s="29"/>
      <c r="L453" s="29"/>
      <c r="M453" s="29"/>
      <c r="N453" s="29"/>
    </row>
    <row r="454" spans="1:14" ht="12.75">
      <c r="A454" s="234"/>
      <c r="B454" s="29"/>
      <c r="C454" s="29"/>
      <c r="D454" s="29"/>
      <c r="E454" s="248"/>
      <c r="F454" s="66"/>
      <c r="G454" s="66"/>
      <c r="H454" s="66"/>
      <c r="I454" s="249"/>
      <c r="K454" s="29"/>
      <c r="L454" s="29"/>
      <c r="M454" s="29"/>
      <c r="N454" s="29"/>
    </row>
    <row r="455" spans="1:14" ht="12.75">
      <c r="A455" s="234"/>
      <c r="B455" s="29"/>
      <c r="C455" s="29"/>
      <c r="D455" s="29"/>
      <c r="E455" s="248"/>
      <c r="F455" s="66"/>
      <c r="G455" s="66"/>
      <c r="H455" s="66"/>
      <c r="I455" s="249"/>
      <c r="K455" s="29"/>
      <c r="L455" s="29"/>
      <c r="M455" s="29"/>
      <c r="N455" s="29"/>
    </row>
    <row r="456" spans="1:14" ht="12.75">
      <c r="A456" s="234"/>
      <c r="B456" s="29"/>
      <c r="C456" s="29"/>
      <c r="D456" s="29"/>
      <c r="E456" s="248"/>
      <c r="F456" s="66"/>
      <c r="G456" s="66"/>
      <c r="H456" s="66"/>
      <c r="I456" s="249"/>
      <c r="K456" s="29"/>
      <c r="L456" s="29"/>
      <c r="M456" s="29"/>
      <c r="N456" s="29"/>
    </row>
    <row r="457" spans="1:14" ht="12.75">
      <c r="A457" s="234"/>
      <c r="B457" s="29"/>
      <c r="C457" s="29"/>
      <c r="D457" s="29"/>
      <c r="E457" s="248"/>
      <c r="F457" s="66"/>
      <c r="G457" s="66"/>
      <c r="H457" s="66"/>
      <c r="I457" s="249"/>
      <c r="K457" s="29"/>
      <c r="L457" s="29"/>
      <c r="M457" s="29"/>
      <c r="N457" s="29"/>
    </row>
    <row r="458" spans="1:14" ht="12.75">
      <c r="A458" s="234"/>
      <c r="B458" s="29"/>
      <c r="C458" s="29"/>
      <c r="D458" s="29"/>
      <c r="E458" s="248"/>
      <c r="F458" s="66"/>
      <c r="G458" s="66"/>
      <c r="H458" s="66"/>
      <c r="I458" s="249"/>
      <c r="K458" s="29"/>
      <c r="L458" s="29"/>
      <c r="M458" s="29"/>
      <c r="N458" s="29"/>
    </row>
    <row r="459" spans="1:14" ht="12.75">
      <c r="A459" s="234"/>
      <c r="B459" s="29"/>
      <c r="C459" s="29"/>
      <c r="D459" s="29"/>
      <c r="E459" s="248"/>
      <c r="F459" s="66"/>
      <c r="G459" s="66"/>
      <c r="H459" s="66"/>
      <c r="I459" s="249"/>
      <c r="K459" s="29"/>
      <c r="L459" s="29"/>
      <c r="M459" s="29"/>
      <c r="N459" s="29"/>
    </row>
    <row r="460" spans="1:14" ht="12.75">
      <c r="A460" s="234"/>
      <c r="B460" s="29"/>
      <c r="C460" s="29"/>
      <c r="D460" s="29"/>
      <c r="E460" s="248"/>
      <c r="F460" s="66"/>
      <c r="G460" s="66"/>
      <c r="H460" s="66"/>
      <c r="I460" s="249"/>
      <c r="K460" s="29"/>
      <c r="L460" s="29"/>
      <c r="M460" s="29"/>
      <c r="N460" s="29"/>
    </row>
    <row r="461" spans="1:9" ht="12.75">
      <c r="A461" s="234"/>
      <c r="B461" s="29"/>
      <c r="C461" s="29"/>
      <c r="D461" s="29"/>
      <c r="E461" s="248"/>
      <c r="F461" s="66"/>
      <c r="G461" s="66"/>
      <c r="H461" s="66"/>
      <c r="I461" s="249"/>
    </row>
    <row r="462" spans="1:9" ht="12.75">
      <c r="A462" s="234"/>
      <c r="B462" s="29"/>
      <c r="C462" s="29"/>
      <c r="D462" s="29"/>
      <c r="E462" s="248"/>
      <c r="F462" s="66"/>
      <c r="G462" s="66"/>
      <c r="H462" s="66"/>
      <c r="I462" s="249"/>
    </row>
    <row r="463" spans="1:9" ht="12.75">
      <c r="A463" s="234"/>
      <c r="B463" s="29"/>
      <c r="C463" s="29"/>
      <c r="D463" s="29"/>
      <c r="E463" s="248"/>
      <c r="F463" s="66"/>
      <c r="G463" s="66"/>
      <c r="H463" s="66"/>
      <c r="I463" s="249"/>
    </row>
    <row r="464" spans="1:9" ht="12.75">
      <c r="A464" s="234"/>
      <c r="B464" s="29"/>
      <c r="C464" s="29"/>
      <c r="D464" s="29"/>
      <c r="E464" s="248"/>
      <c r="F464" s="66"/>
      <c r="G464" s="66"/>
      <c r="H464" s="66"/>
      <c r="I464" s="249"/>
    </row>
    <row r="465" spans="1:9" ht="12.75">
      <c r="A465" s="234"/>
      <c r="B465" s="29"/>
      <c r="C465" s="29"/>
      <c r="D465" s="29"/>
      <c r="E465" s="248"/>
      <c r="F465" s="66"/>
      <c r="G465" s="66"/>
      <c r="H465" s="66"/>
      <c r="I465" s="249"/>
    </row>
    <row r="466" spans="1:9" ht="12.75">
      <c r="A466" s="234"/>
      <c r="B466" s="29"/>
      <c r="C466" s="29"/>
      <c r="D466" s="29"/>
      <c r="E466" s="248"/>
      <c r="F466" s="66"/>
      <c r="G466" s="66"/>
      <c r="H466" s="66"/>
      <c r="I466" s="249"/>
    </row>
    <row r="467" spans="1:9" ht="12.75">
      <c r="A467" s="234"/>
      <c r="B467" s="29"/>
      <c r="C467" s="29"/>
      <c r="D467" s="29"/>
      <c r="E467" s="248"/>
      <c r="F467" s="66"/>
      <c r="G467" s="66"/>
      <c r="H467" s="66"/>
      <c r="I467" s="249"/>
    </row>
    <row r="468" spans="1:9" ht="12.75">
      <c r="A468" s="234"/>
      <c r="B468" s="29"/>
      <c r="C468" s="29"/>
      <c r="D468" s="29"/>
      <c r="E468" s="248"/>
      <c r="F468" s="66"/>
      <c r="G468" s="66"/>
      <c r="H468" s="66"/>
      <c r="I468" s="249"/>
    </row>
    <row r="469" spans="1:9" ht="12.75">
      <c r="A469" s="234"/>
      <c r="B469" s="29"/>
      <c r="C469" s="29"/>
      <c r="D469" s="29"/>
      <c r="E469" s="248"/>
      <c r="F469" s="66"/>
      <c r="G469" s="66"/>
      <c r="H469" s="66"/>
      <c r="I469" s="249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6"/>
  <sheetViews>
    <sheetView zoomScalePageLayoutView="0" workbookViewId="0" topLeftCell="A10">
      <selection activeCell="A17" sqref="A17:E76"/>
    </sheetView>
  </sheetViews>
  <sheetFormatPr defaultColWidth="11.57421875" defaultRowHeight="12.75"/>
  <cols>
    <col min="1" max="1" width="6.7109375" style="66" customWidth="1"/>
    <col min="2" max="2" width="13.7109375" style="66" customWidth="1"/>
    <col min="3" max="3" width="0.9921875" style="66" customWidth="1"/>
    <col min="4" max="4" width="30.7109375" style="66" customWidth="1"/>
    <col min="5" max="5" width="20.28125" style="66" customWidth="1"/>
    <col min="6" max="16384" width="11.57421875" style="66" customWidth="1"/>
  </cols>
  <sheetData>
    <row r="1" spans="1:5" s="184" customFormat="1" ht="43.5" customHeight="1">
      <c r="A1" s="288" t="s">
        <v>1534</v>
      </c>
      <c r="B1" s="288"/>
      <c r="C1" s="288"/>
      <c r="D1" s="288"/>
      <c r="E1" s="288"/>
    </row>
    <row r="2" spans="1:5" s="184" customFormat="1" ht="30" customHeight="1">
      <c r="A2" s="287" t="s">
        <v>61</v>
      </c>
      <c r="B2" s="287"/>
      <c r="C2" s="287"/>
      <c r="D2" s="287"/>
      <c r="E2" s="287"/>
    </row>
    <row r="3" spans="1:5" s="184" customFormat="1" ht="19.5" customHeight="1" thickBot="1">
      <c r="A3" s="287" t="s">
        <v>62</v>
      </c>
      <c r="B3" s="287"/>
      <c r="C3" s="287"/>
      <c r="D3" s="287"/>
      <c r="E3" s="287"/>
    </row>
    <row r="4" spans="1:5" s="184" customFormat="1" ht="27" customHeight="1">
      <c r="A4" s="290" t="s">
        <v>1909</v>
      </c>
      <c r="B4" s="291"/>
      <c r="C4" s="291"/>
      <c r="D4" s="291"/>
      <c r="E4" s="292"/>
    </row>
    <row r="5" spans="1:5" ht="20.25">
      <c r="A5" s="279" t="s">
        <v>63</v>
      </c>
      <c r="B5" s="280"/>
      <c r="C5" s="280"/>
      <c r="D5" s="280"/>
      <c r="E5" s="281"/>
    </row>
    <row r="6" spans="1:5" ht="20.25">
      <c r="A6" s="279" t="s">
        <v>64</v>
      </c>
      <c r="B6" s="280"/>
      <c r="C6" s="280"/>
      <c r="D6" s="280"/>
      <c r="E6" s="281"/>
    </row>
    <row r="7" spans="1:5" ht="43.5" customHeight="1">
      <c r="A7" s="277" t="s">
        <v>65</v>
      </c>
      <c r="B7" s="278"/>
      <c r="C7" s="278"/>
      <c r="D7" s="278"/>
      <c r="E7" s="289"/>
    </row>
    <row r="8" spans="1:5" ht="3" customHeight="1">
      <c r="A8" s="186"/>
      <c r="B8" s="28"/>
      <c r="C8" s="28"/>
      <c r="D8" s="28"/>
      <c r="E8" s="187"/>
    </row>
    <row r="9" spans="1:5" ht="20.25">
      <c r="A9" s="293" t="s">
        <v>1535</v>
      </c>
      <c r="B9" s="294"/>
      <c r="C9" s="294"/>
      <c r="D9" s="294"/>
      <c r="E9" s="295"/>
    </row>
    <row r="10" spans="1:5" ht="30" customHeight="1">
      <c r="A10" s="296" t="s">
        <v>1536</v>
      </c>
      <c r="B10" s="297"/>
      <c r="C10" s="297"/>
      <c r="D10" s="297"/>
      <c r="E10" s="298"/>
    </row>
    <row r="11" spans="1:5" ht="4.5" customHeight="1">
      <c r="A11" s="188"/>
      <c r="B11" s="185"/>
      <c r="C11" s="185"/>
      <c r="D11" s="185"/>
      <c r="E11" s="189"/>
    </row>
    <row r="12" spans="1:5" ht="39.75" customHeight="1" thickBot="1">
      <c r="A12" s="299" t="s">
        <v>66</v>
      </c>
      <c r="B12" s="300"/>
      <c r="C12" s="300"/>
      <c r="D12" s="300"/>
      <c r="E12" s="301"/>
    </row>
    <row r="13" spans="1:5" ht="6" customHeight="1" thickBot="1">
      <c r="A13" s="28"/>
      <c r="B13" s="28"/>
      <c r="C13" s="28"/>
      <c r="D13" s="28"/>
      <c r="E13" s="28"/>
    </row>
    <row r="14" spans="1:5" ht="28.5" customHeight="1">
      <c r="A14" s="284" t="s">
        <v>67</v>
      </c>
      <c r="B14" s="178">
        <v>1</v>
      </c>
      <c r="C14" s="178"/>
      <c r="D14" s="178"/>
      <c r="E14" s="179"/>
    </row>
    <row r="15" spans="1:5" ht="28.5" customHeight="1">
      <c r="A15" s="285"/>
      <c r="B15" s="180">
        <v>2</v>
      </c>
      <c r="C15" s="180"/>
      <c r="D15" s="180"/>
      <c r="E15" s="181"/>
    </row>
    <row r="16" spans="1:5" ht="28.5" customHeight="1" thickBot="1">
      <c r="A16" s="286"/>
      <c r="B16" s="182">
        <v>3</v>
      </c>
      <c r="C16" s="182"/>
      <c r="D16" s="182"/>
      <c r="E16" s="183"/>
    </row>
    <row r="17" spans="1:5" ht="28.5" customHeight="1">
      <c r="A17" s="284" t="s">
        <v>68</v>
      </c>
      <c r="B17" s="178">
        <v>1</v>
      </c>
      <c r="C17" s="178"/>
      <c r="D17" s="178"/>
      <c r="E17" s="179"/>
    </row>
    <row r="18" spans="1:5" ht="28.5" customHeight="1">
      <c r="A18" s="285"/>
      <c r="B18" s="180">
        <v>2</v>
      </c>
      <c r="C18" s="180"/>
      <c r="D18" s="180"/>
      <c r="E18" s="181"/>
    </row>
    <row r="19" spans="1:5" ht="28.5" customHeight="1" thickBot="1">
      <c r="A19" s="286"/>
      <c r="B19" s="182">
        <v>3</v>
      </c>
      <c r="C19" s="182"/>
      <c r="D19" s="182"/>
      <c r="E19" s="183"/>
    </row>
    <row r="20" spans="1:5" ht="28.5" customHeight="1">
      <c r="A20" s="284" t="s">
        <v>69</v>
      </c>
      <c r="B20" s="178">
        <v>1</v>
      </c>
      <c r="C20" s="178"/>
      <c r="D20" s="178"/>
      <c r="E20" s="179"/>
    </row>
    <row r="21" spans="1:5" ht="28.5" customHeight="1">
      <c r="A21" s="285"/>
      <c r="B21" s="180">
        <v>2</v>
      </c>
      <c r="C21" s="180"/>
      <c r="D21" s="180"/>
      <c r="E21" s="181"/>
    </row>
    <row r="22" spans="1:5" ht="28.5" customHeight="1" thickBot="1">
      <c r="A22" s="286"/>
      <c r="B22" s="182">
        <v>3</v>
      </c>
      <c r="C22" s="182"/>
      <c r="D22" s="182"/>
      <c r="E22" s="183"/>
    </row>
    <row r="23" spans="1:5" ht="28.5" customHeight="1">
      <c r="A23" s="284" t="s">
        <v>70</v>
      </c>
      <c r="B23" s="178">
        <v>1</v>
      </c>
      <c r="C23" s="178"/>
      <c r="D23" s="178"/>
      <c r="E23" s="179"/>
    </row>
    <row r="24" spans="1:5" ht="28.5" customHeight="1">
      <c r="A24" s="285"/>
      <c r="B24" s="180">
        <v>2</v>
      </c>
      <c r="C24" s="180"/>
      <c r="D24" s="180"/>
      <c r="E24" s="181"/>
    </row>
    <row r="25" spans="1:5" ht="28.5" customHeight="1" thickBot="1">
      <c r="A25" s="286"/>
      <c r="B25" s="182">
        <v>3</v>
      </c>
      <c r="C25" s="182"/>
      <c r="D25" s="182"/>
      <c r="E25" s="183"/>
    </row>
    <row r="26" spans="1:5" ht="28.5" customHeight="1">
      <c r="A26" s="284" t="s">
        <v>71</v>
      </c>
      <c r="B26" s="178">
        <v>1</v>
      </c>
      <c r="C26" s="178"/>
      <c r="D26" s="178"/>
      <c r="E26" s="179"/>
    </row>
    <row r="27" spans="1:5" ht="28.5" customHeight="1">
      <c r="A27" s="285"/>
      <c r="B27" s="180">
        <v>2</v>
      </c>
      <c r="C27" s="180"/>
      <c r="D27" s="180"/>
      <c r="E27" s="181"/>
    </row>
    <row r="28" spans="1:5" ht="28.5" customHeight="1" thickBot="1">
      <c r="A28" s="286"/>
      <c r="B28" s="182">
        <v>3</v>
      </c>
      <c r="C28" s="182"/>
      <c r="D28" s="182"/>
      <c r="E28" s="183"/>
    </row>
    <row r="29" spans="1:5" ht="28.5" customHeight="1">
      <c r="A29" s="284" t="s">
        <v>72</v>
      </c>
      <c r="B29" s="178">
        <v>1</v>
      </c>
      <c r="C29" s="178"/>
      <c r="D29" s="178"/>
      <c r="E29" s="179"/>
    </row>
    <row r="30" spans="1:5" ht="28.5" customHeight="1">
      <c r="A30" s="285"/>
      <c r="B30" s="180">
        <v>2</v>
      </c>
      <c r="C30" s="180"/>
      <c r="D30" s="180"/>
      <c r="E30" s="181"/>
    </row>
    <row r="31" spans="1:5" ht="28.5" customHeight="1" thickBot="1">
      <c r="A31" s="286"/>
      <c r="B31" s="182">
        <v>3</v>
      </c>
      <c r="C31" s="182"/>
      <c r="D31" s="182"/>
      <c r="E31" s="183"/>
    </row>
    <row r="32" spans="1:5" ht="28.5" customHeight="1">
      <c r="A32" s="284" t="s">
        <v>73</v>
      </c>
      <c r="B32" s="178">
        <v>1</v>
      </c>
      <c r="C32" s="178"/>
      <c r="D32" s="178"/>
      <c r="E32" s="179"/>
    </row>
    <row r="33" spans="1:5" ht="28.5" customHeight="1">
      <c r="A33" s="285"/>
      <c r="B33" s="180">
        <v>2</v>
      </c>
      <c r="C33" s="180"/>
      <c r="D33" s="180"/>
      <c r="E33" s="181"/>
    </row>
    <row r="34" spans="1:5" ht="28.5" customHeight="1" thickBot="1">
      <c r="A34" s="286"/>
      <c r="B34" s="182">
        <v>3</v>
      </c>
      <c r="C34" s="182"/>
      <c r="D34" s="182"/>
      <c r="E34" s="183"/>
    </row>
    <row r="35" spans="1:5" ht="28.5" customHeight="1">
      <c r="A35" s="284" t="s">
        <v>74</v>
      </c>
      <c r="B35" s="178">
        <v>1</v>
      </c>
      <c r="C35" s="178"/>
      <c r="D35" s="178"/>
      <c r="E35" s="179"/>
    </row>
    <row r="36" spans="1:5" ht="28.5" customHeight="1">
      <c r="A36" s="285"/>
      <c r="B36" s="180">
        <v>2</v>
      </c>
      <c r="C36" s="180"/>
      <c r="D36" s="180"/>
      <c r="E36" s="181"/>
    </row>
    <row r="37" spans="1:5" ht="28.5" customHeight="1" thickBot="1">
      <c r="A37" s="286"/>
      <c r="B37" s="182">
        <v>3</v>
      </c>
      <c r="C37" s="182"/>
      <c r="D37" s="182"/>
      <c r="E37" s="183"/>
    </row>
    <row r="38" spans="1:5" ht="28.5" customHeight="1">
      <c r="A38" s="284" t="s">
        <v>75</v>
      </c>
      <c r="B38" s="178">
        <v>1</v>
      </c>
      <c r="C38" s="178"/>
      <c r="D38" s="178"/>
      <c r="E38" s="179"/>
    </row>
    <row r="39" spans="1:5" ht="28.5" customHeight="1">
      <c r="A39" s="285"/>
      <c r="B39" s="180">
        <v>2</v>
      </c>
      <c r="C39" s="180"/>
      <c r="D39" s="180"/>
      <c r="E39" s="181"/>
    </row>
    <row r="40" spans="1:5" ht="28.5" customHeight="1" thickBot="1">
      <c r="A40" s="286"/>
      <c r="B40" s="182">
        <v>3</v>
      </c>
      <c r="C40" s="182"/>
      <c r="D40" s="182"/>
      <c r="E40" s="183"/>
    </row>
    <row r="41" spans="1:5" ht="28.5" customHeight="1">
      <c r="A41" s="284" t="s">
        <v>1700</v>
      </c>
      <c r="B41" s="178">
        <v>1</v>
      </c>
      <c r="C41" s="178"/>
      <c r="D41" s="178"/>
      <c r="E41" s="179"/>
    </row>
    <row r="42" spans="1:5" ht="28.5" customHeight="1">
      <c r="A42" s="285"/>
      <c r="B42" s="180">
        <v>2</v>
      </c>
      <c r="C42" s="180"/>
      <c r="D42" s="180"/>
      <c r="E42" s="181"/>
    </row>
    <row r="43" spans="1:5" ht="28.5" customHeight="1" thickBot="1">
      <c r="A43" s="286"/>
      <c r="B43" s="182">
        <v>3</v>
      </c>
      <c r="C43" s="182"/>
      <c r="D43" s="182"/>
      <c r="E43" s="183"/>
    </row>
    <row r="44" spans="1:5" ht="28.5" customHeight="1">
      <c r="A44" s="284" t="s">
        <v>1701</v>
      </c>
      <c r="B44" s="178">
        <v>1</v>
      </c>
      <c r="C44" s="178"/>
      <c r="D44" s="178"/>
      <c r="E44" s="179"/>
    </row>
    <row r="45" spans="1:5" ht="28.5" customHeight="1">
      <c r="A45" s="285"/>
      <c r="B45" s="180">
        <v>2</v>
      </c>
      <c r="C45" s="180"/>
      <c r="D45" s="180"/>
      <c r="E45" s="181"/>
    </row>
    <row r="46" spans="1:5" ht="28.5" customHeight="1" thickBot="1">
      <c r="A46" s="286"/>
      <c r="B46" s="182">
        <v>3</v>
      </c>
      <c r="C46" s="182"/>
      <c r="D46" s="182"/>
      <c r="E46" s="183"/>
    </row>
    <row r="47" spans="1:5" ht="28.5" customHeight="1">
      <c r="A47" s="284" t="s">
        <v>1702</v>
      </c>
      <c r="B47" s="178">
        <v>1</v>
      </c>
      <c r="C47" s="178"/>
      <c r="D47" s="178"/>
      <c r="E47" s="179"/>
    </row>
    <row r="48" spans="1:5" ht="28.5" customHeight="1">
      <c r="A48" s="285"/>
      <c r="B48" s="180">
        <v>2</v>
      </c>
      <c r="C48" s="180"/>
      <c r="D48" s="180"/>
      <c r="E48" s="181"/>
    </row>
    <row r="49" spans="1:5" ht="28.5" customHeight="1" thickBot="1">
      <c r="A49" s="286"/>
      <c r="B49" s="182">
        <v>3</v>
      </c>
      <c r="C49" s="182"/>
      <c r="D49" s="182"/>
      <c r="E49" s="183"/>
    </row>
    <row r="50" spans="1:5" ht="28.5" customHeight="1">
      <c r="A50" s="284" t="s">
        <v>1703</v>
      </c>
      <c r="B50" s="178">
        <v>1</v>
      </c>
      <c r="C50" s="178"/>
      <c r="D50" s="178"/>
      <c r="E50" s="179"/>
    </row>
    <row r="51" spans="1:5" ht="28.5" customHeight="1">
      <c r="A51" s="285"/>
      <c r="B51" s="180">
        <v>2</v>
      </c>
      <c r="C51" s="180"/>
      <c r="D51" s="180"/>
      <c r="E51" s="181"/>
    </row>
    <row r="52" spans="1:5" ht="28.5" customHeight="1" thickBot="1">
      <c r="A52" s="286"/>
      <c r="B52" s="182">
        <v>3</v>
      </c>
      <c r="C52" s="182"/>
      <c r="D52" s="182"/>
      <c r="E52" s="183"/>
    </row>
    <row r="53" spans="1:5" ht="28.5" customHeight="1">
      <c r="A53" s="284" t="s">
        <v>1704</v>
      </c>
      <c r="B53" s="178">
        <v>1</v>
      </c>
      <c r="C53" s="178"/>
      <c r="D53" s="178"/>
      <c r="E53" s="179"/>
    </row>
    <row r="54" spans="1:5" ht="28.5" customHeight="1">
      <c r="A54" s="285"/>
      <c r="B54" s="180">
        <v>2</v>
      </c>
      <c r="C54" s="180"/>
      <c r="D54" s="180"/>
      <c r="E54" s="181"/>
    </row>
    <row r="55" spans="1:5" ht="28.5" customHeight="1" thickBot="1">
      <c r="A55" s="286"/>
      <c r="B55" s="182">
        <v>3</v>
      </c>
      <c r="C55" s="182"/>
      <c r="D55" s="182"/>
      <c r="E55" s="183"/>
    </row>
    <row r="56" spans="1:5" ht="28.5" customHeight="1">
      <c r="A56" s="284" t="s">
        <v>76</v>
      </c>
      <c r="B56" s="178">
        <v>1</v>
      </c>
      <c r="C56" s="178"/>
      <c r="D56" s="178"/>
      <c r="E56" s="179"/>
    </row>
    <row r="57" spans="1:5" ht="28.5" customHeight="1">
      <c r="A57" s="285"/>
      <c r="B57" s="180">
        <v>2</v>
      </c>
      <c r="C57" s="180"/>
      <c r="D57" s="180"/>
      <c r="E57" s="181"/>
    </row>
    <row r="58" spans="1:5" ht="28.5" customHeight="1" thickBot="1">
      <c r="A58" s="286"/>
      <c r="B58" s="182">
        <v>3</v>
      </c>
      <c r="C58" s="182"/>
      <c r="D58" s="182"/>
      <c r="E58" s="183"/>
    </row>
    <row r="59" spans="1:5" ht="28.5" customHeight="1">
      <c r="A59" s="284" t="s">
        <v>77</v>
      </c>
      <c r="B59" s="178">
        <v>1</v>
      </c>
      <c r="C59" s="178"/>
      <c r="D59" s="178"/>
      <c r="E59" s="179"/>
    </row>
    <row r="60" spans="1:5" ht="28.5" customHeight="1">
      <c r="A60" s="285"/>
      <c r="B60" s="180">
        <v>2</v>
      </c>
      <c r="C60" s="180"/>
      <c r="D60" s="180"/>
      <c r="E60" s="181"/>
    </row>
    <row r="61" spans="1:5" ht="28.5" customHeight="1" thickBot="1">
      <c r="A61" s="286"/>
      <c r="B61" s="182">
        <v>3</v>
      </c>
      <c r="C61" s="182"/>
      <c r="D61" s="182"/>
      <c r="E61" s="183"/>
    </row>
    <row r="62" spans="1:5" ht="28.5" customHeight="1">
      <c r="A62" s="284" t="s">
        <v>78</v>
      </c>
      <c r="B62" s="178">
        <v>1</v>
      </c>
      <c r="C62" s="178"/>
      <c r="D62" s="178"/>
      <c r="E62" s="179"/>
    </row>
    <row r="63" spans="1:5" ht="28.5" customHeight="1">
      <c r="A63" s="285"/>
      <c r="B63" s="180">
        <v>2</v>
      </c>
      <c r="C63" s="180"/>
      <c r="D63" s="180"/>
      <c r="E63" s="181"/>
    </row>
    <row r="64" spans="1:5" ht="28.5" customHeight="1" thickBot="1">
      <c r="A64" s="286"/>
      <c r="B64" s="182">
        <v>3</v>
      </c>
      <c r="C64" s="182"/>
      <c r="D64" s="182"/>
      <c r="E64" s="183"/>
    </row>
    <row r="65" spans="1:5" ht="28.5" customHeight="1">
      <c r="A65" s="284" t="s">
        <v>79</v>
      </c>
      <c r="B65" s="178">
        <v>1</v>
      </c>
      <c r="C65" s="178"/>
      <c r="D65" s="178"/>
      <c r="E65" s="179"/>
    </row>
    <row r="66" spans="1:5" ht="28.5" customHeight="1">
      <c r="A66" s="285"/>
      <c r="B66" s="180">
        <v>2</v>
      </c>
      <c r="C66" s="180"/>
      <c r="D66" s="180"/>
      <c r="E66" s="181"/>
    </row>
    <row r="67" spans="1:5" ht="28.5" customHeight="1" thickBot="1">
      <c r="A67" s="286"/>
      <c r="B67" s="182">
        <v>3</v>
      </c>
      <c r="C67" s="182"/>
      <c r="D67" s="182"/>
      <c r="E67" s="183"/>
    </row>
    <row r="68" spans="1:5" ht="28.5" customHeight="1">
      <c r="A68" s="284" t="s">
        <v>80</v>
      </c>
      <c r="B68" s="178">
        <v>1</v>
      </c>
      <c r="C68" s="178"/>
      <c r="D68" s="178"/>
      <c r="E68" s="179"/>
    </row>
    <row r="69" spans="1:5" ht="28.5" customHeight="1">
      <c r="A69" s="285"/>
      <c r="B69" s="180">
        <v>2</v>
      </c>
      <c r="C69" s="180"/>
      <c r="D69" s="180"/>
      <c r="E69" s="181"/>
    </row>
    <row r="70" spans="1:5" ht="28.5" customHeight="1" thickBot="1">
      <c r="A70" s="286"/>
      <c r="B70" s="182">
        <v>3</v>
      </c>
      <c r="C70" s="182"/>
      <c r="D70" s="182"/>
      <c r="E70" s="183"/>
    </row>
    <row r="71" spans="1:5" ht="28.5" customHeight="1">
      <c r="A71" s="284" t="s">
        <v>81</v>
      </c>
      <c r="B71" s="178">
        <v>1</v>
      </c>
      <c r="C71" s="178"/>
      <c r="D71" s="178"/>
      <c r="E71" s="179"/>
    </row>
    <row r="72" spans="1:5" ht="28.5" customHeight="1">
      <c r="A72" s="285"/>
      <c r="B72" s="180">
        <v>2</v>
      </c>
      <c r="C72" s="180"/>
      <c r="D72" s="180"/>
      <c r="E72" s="181"/>
    </row>
    <row r="73" spans="1:5" ht="28.5" customHeight="1" thickBot="1">
      <c r="A73" s="286"/>
      <c r="B73" s="182">
        <v>3</v>
      </c>
      <c r="C73" s="182"/>
      <c r="D73" s="182"/>
      <c r="E73" s="183"/>
    </row>
    <row r="74" spans="1:5" ht="28.5" customHeight="1">
      <c r="A74" s="284" t="s">
        <v>82</v>
      </c>
      <c r="B74" s="178">
        <v>1</v>
      </c>
      <c r="C74" s="178"/>
      <c r="D74" s="178"/>
      <c r="E74" s="179"/>
    </row>
    <row r="75" spans="1:5" ht="28.5" customHeight="1">
      <c r="A75" s="285"/>
      <c r="B75" s="180">
        <v>2</v>
      </c>
      <c r="C75" s="180"/>
      <c r="D75" s="180"/>
      <c r="E75" s="181"/>
    </row>
    <row r="76" spans="1:5" ht="28.5" customHeight="1" thickBot="1">
      <c r="A76" s="286"/>
      <c r="B76" s="182">
        <v>3</v>
      </c>
      <c r="C76" s="182"/>
      <c r="D76" s="182"/>
      <c r="E76" s="183"/>
    </row>
  </sheetData>
  <sheetProtection/>
  <mergeCells count="31">
    <mergeCell ref="A65:A67"/>
    <mergeCell ref="A71:A73"/>
    <mergeCell ref="A74:A76"/>
    <mergeCell ref="A32:A34"/>
    <mergeCell ref="A38:A40"/>
    <mergeCell ref="A44:A46"/>
    <mergeCell ref="A50:A52"/>
    <mergeCell ref="A56:A58"/>
    <mergeCell ref="A62:A64"/>
    <mergeCell ref="A68:A70"/>
    <mergeCell ref="A59:A61"/>
    <mergeCell ref="A23:A25"/>
    <mergeCell ref="A20:A22"/>
    <mergeCell ref="A9:E9"/>
    <mergeCell ref="A10:E10"/>
    <mergeCell ref="A12:E12"/>
    <mergeCell ref="A17:A19"/>
    <mergeCell ref="A53:A55"/>
    <mergeCell ref="A2:E2"/>
    <mergeCell ref="A1:E1"/>
    <mergeCell ref="A3:E3"/>
    <mergeCell ref="A5:E5"/>
    <mergeCell ref="A6:E6"/>
    <mergeCell ref="A7:E7"/>
    <mergeCell ref="A4:E4"/>
    <mergeCell ref="A14:A16"/>
    <mergeCell ref="A26:A28"/>
    <mergeCell ref="A29:A31"/>
    <mergeCell ref="A35:A37"/>
    <mergeCell ref="A41:A43"/>
    <mergeCell ref="A47:A49"/>
  </mergeCells>
  <printOptions/>
  <pageMargins left="1.1023622047244095" right="0.7086614173228347" top="0.1968503937007874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82"/>
  <sheetViews>
    <sheetView zoomScalePageLayoutView="0" workbookViewId="0" topLeftCell="A1">
      <selection activeCell="A10" sqref="A10:IV10"/>
    </sheetView>
  </sheetViews>
  <sheetFormatPr defaultColWidth="11.421875" defaultRowHeight="12.75"/>
  <cols>
    <col min="1" max="1" width="2.421875" style="0" customWidth="1"/>
    <col min="2" max="2" width="6.7109375" style="77" customWidth="1"/>
    <col min="3" max="3" width="21.28125" style="0" customWidth="1"/>
    <col min="4" max="4" width="19.7109375" style="0" customWidth="1"/>
    <col min="5" max="5" width="6.28125" style="33" customWidth="1"/>
    <col min="6" max="6" width="17.140625" style="0" customWidth="1"/>
    <col min="7" max="7" width="19.28125" style="0" customWidth="1"/>
    <col min="8" max="8" width="6.140625" style="33" customWidth="1"/>
  </cols>
  <sheetData>
    <row r="1" ht="6" customHeight="1" thickBot="1"/>
    <row r="2" spans="2:8" s="12" customFormat="1" ht="26.25" customHeight="1">
      <c r="B2" s="303"/>
      <c r="C2" s="304"/>
      <c r="D2" s="304"/>
      <c r="E2" s="308" t="s">
        <v>29</v>
      </c>
      <c r="F2" s="308"/>
      <c r="G2" s="308"/>
      <c r="H2" s="309"/>
    </row>
    <row r="3" spans="2:8" ht="18" customHeight="1">
      <c r="B3" s="305"/>
      <c r="C3" s="306"/>
      <c r="D3" s="306"/>
      <c r="E3" s="312" t="s">
        <v>27</v>
      </c>
      <c r="F3" s="313"/>
      <c r="G3" s="313"/>
      <c r="H3" s="314"/>
    </row>
    <row r="4" spans="2:8" ht="23.25" customHeight="1">
      <c r="B4" s="305"/>
      <c r="C4" s="306"/>
      <c r="D4" s="306"/>
      <c r="E4" s="313"/>
      <c r="F4" s="313"/>
      <c r="G4" s="313"/>
      <c r="H4" s="314"/>
    </row>
    <row r="5" spans="2:8" ht="19.5" customHeight="1">
      <c r="B5" s="305"/>
      <c r="C5" s="306"/>
      <c r="D5" s="306"/>
      <c r="E5" s="310" t="s">
        <v>1771</v>
      </c>
      <c r="F5" s="310"/>
      <c r="G5" s="310"/>
      <c r="H5" s="311"/>
    </row>
    <row r="6" spans="2:8" ht="21" customHeight="1">
      <c r="B6" s="305"/>
      <c r="C6" s="306"/>
      <c r="D6" s="306"/>
      <c r="E6" s="310" t="s">
        <v>1772</v>
      </c>
      <c r="F6" s="310"/>
      <c r="G6" s="310"/>
      <c r="H6" s="311"/>
    </row>
    <row r="7" spans="2:8" ht="6.75" customHeight="1">
      <c r="B7" s="305"/>
      <c r="C7" s="306"/>
      <c r="D7" s="306"/>
      <c r="E7" s="18"/>
      <c r="F7" s="66"/>
      <c r="G7" s="66"/>
      <c r="H7" s="76"/>
    </row>
    <row r="8" spans="2:8" ht="18">
      <c r="B8" s="78"/>
      <c r="C8" s="66"/>
      <c r="D8" s="66"/>
      <c r="E8" s="307" t="s">
        <v>1833</v>
      </c>
      <c r="F8" s="307"/>
      <c r="G8" s="79" t="s">
        <v>28</v>
      </c>
      <c r="H8" s="76"/>
    </row>
    <row r="9" spans="2:8" ht="20.25" customHeight="1">
      <c r="B9" s="78"/>
      <c r="E9" s="176" t="s">
        <v>30</v>
      </c>
      <c r="F9" s="176"/>
      <c r="G9" s="81"/>
      <c r="H9" s="80"/>
    </row>
    <row r="10" spans="2:8" ht="20.25" customHeight="1">
      <c r="B10" s="78"/>
      <c r="E10" s="307" t="s">
        <v>1773</v>
      </c>
      <c r="F10" s="307"/>
      <c r="G10" s="66"/>
      <c r="H10" s="80"/>
    </row>
    <row r="11" spans="2:8" ht="9" customHeight="1" thickBot="1">
      <c r="B11" s="82"/>
      <c r="C11" s="43"/>
      <c r="D11" s="43"/>
      <c r="E11" s="42"/>
      <c r="F11" s="43"/>
      <c r="G11" s="43"/>
      <c r="H11" s="44"/>
    </row>
    <row r="12" spans="3:8" ht="18" customHeight="1">
      <c r="C12" s="34" t="s">
        <v>1719</v>
      </c>
      <c r="D12" s="34" t="s">
        <v>1718</v>
      </c>
      <c r="E12" s="37" t="s">
        <v>1560</v>
      </c>
      <c r="F12" s="34" t="s">
        <v>1719</v>
      </c>
      <c r="G12" s="34" t="s">
        <v>1718</v>
      </c>
      <c r="H12" s="37" t="s">
        <v>1560</v>
      </c>
    </row>
    <row r="13" spans="2:8" s="12" customFormat="1" ht="27" customHeight="1">
      <c r="B13" s="302"/>
      <c r="C13" s="67" t="s">
        <v>1561</v>
      </c>
      <c r="D13" s="68"/>
      <c r="E13" s="69"/>
      <c r="F13" s="67" t="s">
        <v>1563</v>
      </c>
      <c r="G13" s="68"/>
      <c r="H13" s="69"/>
    </row>
    <row r="14" spans="2:8" s="12" customFormat="1" ht="27" customHeight="1">
      <c r="B14" s="302"/>
      <c r="C14" s="70" t="s">
        <v>1562</v>
      </c>
      <c r="D14" s="71"/>
      <c r="E14" s="72"/>
      <c r="F14" s="70" t="s">
        <v>1564</v>
      </c>
      <c r="G14" s="71"/>
      <c r="H14" s="72"/>
    </row>
    <row r="15" spans="2:8" s="12" customFormat="1" ht="27" customHeight="1">
      <c r="B15" s="302"/>
      <c r="C15" s="67" t="s">
        <v>1565</v>
      </c>
      <c r="D15" s="68"/>
      <c r="E15" s="69"/>
      <c r="F15" s="67" t="s">
        <v>1567</v>
      </c>
      <c r="G15" s="68"/>
      <c r="H15" s="69"/>
    </row>
    <row r="16" spans="2:8" s="12" customFormat="1" ht="27" customHeight="1">
      <c r="B16" s="302"/>
      <c r="C16" s="70" t="s">
        <v>1566</v>
      </c>
      <c r="D16" s="71"/>
      <c r="E16" s="72"/>
      <c r="F16" s="70" t="s">
        <v>1568</v>
      </c>
      <c r="G16" s="71"/>
      <c r="H16" s="72"/>
    </row>
    <row r="17" spans="2:8" s="12" customFormat="1" ht="27" customHeight="1">
      <c r="B17" s="302"/>
      <c r="C17" s="67" t="s">
        <v>1569</v>
      </c>
      <c r="D17" s="68"/>
      <c r="E17" s="69"/>
      <c r="F17" s="67" t="s">
        <v>1571</v>
      </c>
      <c r="G17" s="68"/>
      <c r="H17" s="69"/>
    </row>
    <row r="18" spans="2:8" s="12" customFormat="1" ht="27" customHeight="1">
      <c r="B18" s="302"/>
      <c r="C18" s="70" t="s">
        <v>1570</v>
      </c>
      <c r="D18" s="71"/>
      <c r="E18" s="72"/>
      <c r="F18" s="70" t="s">
        <v>1572</v>
      </c>
      <c r="G18" s="71"/>
      <c r="H18" s="72"/>
    </row>
    <row r="19" spans="2:8" s="12" customFormat="1" ht="27" customHeight="1">
      <c r="B19" s="302"/>
      <c r="C19" s="67" t="s">
        <v>1573</v>
      </c>
      <c r="D19" s="68"/>
      <c r="E19" s="69"/>
      <c r="F19" s="67" t="s">
        <v>1575</v>
      </c>
      <c r="G19" s="68"/>
      <c r="H19" s="69"/>
    </row>
    <row r="20" spans="2:8" s="12" customFormat="1" ht="27" customHeight="1">
      <c r="B20" s="302"/>
      <c r="C20" s="70" t="s">
        <v>1574</v>
      </c>
      <c r="D20" s="71"/>
      <c r="E20" s="72"/>
      <c r="F20" s="70" t="s">
        <v>1576</v>
      </c>
      <c r="G20" s="71"/>
      <c r="H20" s="72"/>
    </row>
    <row r="21" spans="2:8" s="12" customFormat="1" ht="27" customHeight="1">
      <c r="B21" s="302"/>
      <c r="C21" s="67" t="s">
        <v>1577</v>
      </c>
      <c r="D21" s="68"/>
      <c r="E21" s="69"/>
      <c r="F21" s="67" t="s">
        <v>1579</v>
      </c>
      <c r="G21" s="68"/>
      <c r="H21" s="69"/>
    </row>
    <row r="22" spans="2:8" s="12" customFormat="1" ht="27" customHeight="1">
      <c r="B22" s="302"/>
      <c r="C22" s="70" t="s">
        <v>1578</v>
      </c>
      <c r="D22" s="71"/>
      <c r="E22" s="72"/>
      <c r="F22" s="70" t="s">
        <v>1580</v>
      </c>
      <c r="G22" s="71"/>
      <c r="H22" s="72"/>
    </row>
    <row r="23" spans="2:8" s="12" customFormat="1" ht="27" customHeight="1">
      <c r="B23" s="302"/>
      <c r="C23" s="67" t="s">
        <v>1581</v>
      </c>
      <c r="D23" s="68"/>
      <c r="E23" s="69"/>
      <c r="F23" s="67" t="s">
        <v>1583</v>
      </c>
      <c r="G23" s="68"/>
      <c r="H23" s="69"/>
    </row>
    <row r="24" spans="2:8" s="12" customFormat="1" ht="27" customHeight="1">
      <c r="B24" s="302"/>
      <c r="C24" s="70" t="s">
        <v>1582</v>
      </c>
      <c r="D24" s="71"/>
      <c r="E24" s="72"/>
      <c r="F24" s="70" t="s">
        <v>1584</v>
      </c>
      <c r="G24" s="71"/>
      <c r="H24" s="72"/>
    </row>
    <row r="25" spans="2:8" s="12" customFormat="1" ht="27" customHeight="1">
      <c r="B25" s="302"/>
      <c r="C25" s="67" t="s">
        <v>1585</v>
      </c>
      <c r="D25" s="68"/>
      <c r="E25" s="69"/>
      <c r="F25" s="67" t="s">
        <v>1587</v>
      </c>
      <c r="G25" s="68"/>
      <c r="H25" s="69"/>
    </row>
    <row r="26" spans="2:8" s="12" customFormat="1" ht="27" customHeight="1">
      <c r="B26" s="302"/>
      <c r="C26" s="70" t="s">
        <v>1586</v>
      </c>
      <c r="D26" s="71"/>
      <c r="E26" s="72"/>
      <c r="F26" s="70" t="s">
        <v>1588</v>
      </c>
      <c r="G26" s="71"/>
      <c r="H26" s="72"/>
    </row>
    <row r="27" spans="2:8" s="12" customFormat="1" ht="27" customHeight="1">
      <c r="B27" s="302"/>
      <c r="C27" s="67" t="s">
        <v>1589</v>
      </c>
      <c r="D27" s="68"/>
      <c r="E27" s="69"/>
      <c r="F27" s="67" t="s">
        <v>1591</v>
      </c>
      <c r="G27" s="68"/>
      <c r="H27" s="69"/>
    </row>
    <row r="28" spans="2:8" s="12" customFormat="1" ht="27" customHeight="1">
      <c r="B28" s="302"/>
      <c r="C28" s="70" t="s">
        <v>1590</v>
      </c>
      <c r="D28" s="71"/>
      <c r="E28" s="72"/>
      <c r="F28" s="70" t="s">
        <v>1592</v>
      </c>
      <c r="G28" s="71"/>
      <c r="H28" s="72"/>
    </row>
    <row r="29" spans="2:8" s="12" customFormat="1" ht="27" customHeight="1">
      <c r="B29" s="302"/>
      <c r="C29" s="67" t="s">
        <v>1593</v>
      </c>
      <c r="D29" s="68"/>
      <c r="E29" s="69"/>
      <c r="F29" s="67" t="s">
        <v>1595</v>
      </c>
      <c r="G29" s="68"/>
      <c r="H29" s="69"/>
    </row>
    <row r="30" spans="2:8" s="12" customFormat="1" ht="27" customHeight="1">
      <c r="B30" s="302"/>
      <c r="C30" s="70" t="s">
        <v>1594</v>
      </c>
      <c r="D30" s="71"/>
      <c r="E30" s="72"/>
      <c r="F30" s="70" t="s">
        <v>1596</v>
      </c>
      <c r="G30" s="71"/>
      <c r="H30" s="72"/>
    </row>
    <row r="31" spans="2:8" s="12" customFormat="1" ht="27" customHeight="1">
      <c r="B31" s="302"/>
      <c r="C31" s="67" t="s">
        <v>1597</v>
      </c>
      <c r="D31" s="68"/>
      <c r="E31" s="69"/>
      <c r="F31" s="67" t="s">
        <v>1599</v>
      </c>
      <c r="G31" s="68"/>
      <c r="H31" s="69"/>
    </row>
    <row r="32" spans="2:8" s="12" customFormat="1" ht="27" customHeight="1">
      <c r="B32" s="302"/>
      <c r="C32" s="70" t="s">
        <v>1598</v>
      </c>
      <c r="D32" s="71"/>
      <c r="E32" s="72"/>
      <c r="F32" s="70" t="s">
        <v>1600</v>
      </c>
      <c r="G32" s="71"/>
      <c r="H32" s="72"/>
    </row>
    <row r="33" spans="2:8" s="12" customFormat="1" ht="27" customHeight="1">
      <c r="B33" s="302"/>
      <c r="C33" s="67" t="s">
        <v>1601</v>
      </c>
      <c r="D33" s="68"/>
      <c r="E33" s="69"/>
      <c r="F33" s="67" t="s">
        <v>1603</v>
      </c>
      <c r="G33" s="68"/>
      <c r="H33" s="69"/>
    </row>
    <row r="34" spans="2:8" s="12" customFormat="1" ht="27" customHeight="1">
      <c r="B34" s="302"/>
      <c r="C34" s="70" t="s">
        <v>1602</v>
      </c>
      <c r="D34" s="71"/>
      <c r="E34" s="72"/>
      <c r="F34" s="70" t="s">
        <v>1604</v>
      </c>
      <c r="G34" s="71"/>
      <c r="H34" s="72"/>
    </row>
    <row r="35" spans="2:8" s="12" customFormat="1" ht="27" customHeight="1">
      <c r="B35" s="302"/>
      <c r="C35" s="67" t="s">
        <v>1605</v>
      </c>
      <c r="D35" s="68"/>
      <c r="E35" s="69"/>
      <c r="F35" s="67" t="s">
        <v>1607</v>
      </c>
      <c r="G35" s="68"/>
      <c r="H35" s="69"/>
    </row>
    <row r="36" spans="2:8" s="12" customFormat="1" ht="27" customHeight="1">
      <c r="B36" s="302"/>
      <c r="C36" s="70" t="s">
        <v>1606</v>
      </c>
      <c r="D36" s="71"/>
      <c r="E36" s="72"/>
      <c r="F36" s="70" t="s">
        <v>1608</v>
      </c>
      <c r="G36" s="71"/>
      <c r="H36" s="72"/>
    </row>
    <row r="37" spans="2:8" s="12" customFormat="1" ht="27" customHeight="1">
      <c r="B37" s="302"/>
      <c r="C37" s="67" t="s">
        <v>1609</v>
      </c>
      <c r="D37" s="68"/>
      <c r="E37" s="69"/>
      <c r="F37" s="67" t="s">
        <v>1611</v>
      </c>
      <c r="G37" s="68"/>
      <c r="H37" s="69"/>
    </row>
    <row r="38" spans="2:8" s="12" customFormat="1" ht="27" customHeight="1">
      <c r="B38" s="302"/>
      <c r="C38" s="70" t="s">
        <v>1610</v>
      </c>
      <c r="D38" s="71"/>
      <c r="E38" s="72"/>
      <c r="F38" s="70" t="s">
        <v>1612</v>
      </c>
      <c r="G38" s="71"/>
      <c r="H38" s="72"/>
    </row>
    <row r="39" spans="2:8" s="12" customFormat="1" ht="27" customHeight="1">
      <c r="B39" s="302"/>
      <c r="C39" s="67" t="s">
        <v>1613</v>
      </c>
      <c r="D39" s="68"/>
      <c r="E39" s="69"/>
      <c r="F39" s="67" t="s">
        <v>1615</v>
      </c>
      <c r="G39" s="68"/>
      <c r="H39" s="69"/>
    </row>
    <row r="40" spans="2:8" s="12" customFormat="1" ht="27" customHeight="1">
      <c r="B40" s="302"/>
      <c r="C40" s="70" t="s">
        <v>1614</v>
      </c>
      <c r="D40" s="71"/>
      <c r="E40" s="72"/>
      <c r="F40" s="70" t="s">
        <v>1616</v>
      </c>
      <c r="G40" s="71"/>
      <c r="H40" s="72"/>
    </row>
    <row r="41" spans="2:8" s="12" customFormat="1" ht="27" customHeight="1">
      <c r="B41" s="302"/>
      <c r="C41" s="67" t="s">
        <v>1617</v>
      </c>
      <c r="D41" s="68"/>
      <c r="E41" s="69"/>
      <c r="F41" s="67" t="s">
        <v>1619</v>
      </c>
      <c r="G41" s="68"/>
      <c r="H41" s="69"/>
    </row>
    <row r="42" spans="2:8" s="12" customFormat="1" ht="27" customHeight="1">
      <c r="B42" s="302"/>
      <c r="C42" s="70" t="s">
        <v>1621</v>
      </c>
      <c r="D42" s="71"/>
      <c r="E42" s="72"/>
      <c r="F42" s="70" t="s">
        <v>1618</v>
      </c>
      <c r="G42" s="71"/>
      <c r="H42" s="72"/>
    </row>
    <row r="43" spans="2:8" s="12" customFormat="1" ht="27" customHeight="1">
      <c r="B43" s="302"/>
      <c r="C43" s="67" t="s">
        <v>1620</v>
      </c>
      <c r="D43" s="68"/>
      <c r="E43" s="69"/>
      <c r="F43" s="67" t="s">
        <v>1623</v>
      </c>
      <c r="G43" s="68"/>
      <c r="H43" s="69"/>
    </row>
    <row r="44" spans="2:8" s="12" customFormat="1" ht="27" customHeight="1">
      <c r="B44" s="302"/>
      <c r="C44" s="70" t="s">
        <v>1622</v>
      </c>
      <c r="D44" s="71"/>
      <c r="E44" s="72"/>
      <c r="F44" s="70" t="s">
        <v>1624</v>
      </c>
      <c r="G44" s="71"/>
      <c r="H44" s="72"/>
    </row>
    <row r="45" spans="2:8" s="12" customFormat="1" ht="27" customHeight="1">
      <c r="B45" s="302"/>
      <c r="C45" s="67" t="s">
        <v>1625</v>
      </c>
      <c r="D45" s="68"/>
      <c r="E45" s="69"/>
      <c r="F45" s="67" t="s">
        <v>1627</v>
      </c>
      <c r="G45" s="68"/>
      <c r="H45" s="69"/>
    </row>
    <row r="46" spans="2:8" s="12" customFormat="1" ht="27" customHeight="1">
      <c r="B46" s="302"/>
      <c r="C46" s="70" t="s">
        <v>1626</v>
      </c>
      <c r="D46" s="71"/>
      <c r="E46" s="72"/>
      <c r="F46" s="70" t="s">
        <v>1628</v>
      </c>
      <c r="G46" s="71"/>
      <c r="H46" s="72"/>
    </row>
    <row r="47" spans="2:8" s="12" customFormat="1" ht="27" customHeight="1">
      <c r="B47" s="302"/>
      <c r="C47" s="67" t="s">
        <v>1629</v>
      </c>
      <c r="D47" s="68"/>
      <c r="E47" s="69"/>
      <c r="F47" s="67" t="s">
        <v>1631</v>
      </c>
      <c r="G47" s="68"/>
      <c r="H47" s="69"/>
    </row>
    <row r="48" spans="2:8" s="12" customFormat="1" ht="27" customHeight="1">
      <c r="B48" s="302"/>
      <c r="C48" s="70" t="s">
        <v>1630</v>
      </c>
      <c r="D48" s="71"/>
      <c r="E48" s="72"/>
      <c r="F48" s="70" t="s">
        <v>1632</v>
      </c>
      <c r="G48" s="71"/>
      <c r="H48" s="72"/>
    </row>
    <row r="49" spans="2:8" s="12" customFormat="1" ht="27" customHeight="1">
      <c r="B49" s="302"/>
      <c r="C49" s="67" t="s">
        <v>1633</v>
      </c>
      <c r="D49" s="68"/>
      <c r="E49" s="69"/>
      <c r="F49" s="67" t="s">
        <v>1635</v>
      </c>
      <c r="G49" s="68"/>
      <c r="H49" s="69"/>
    </row>
    <row r="50" spans="2:8" s="12" customFormat="1" ht="27" customHeight="1">
      <c r="B50" s="302"/>
      <c r="C50" s="70" t="s">
        <v>1634</v>
      </c>
      <c r="D50" s="71"/>
      <c r="E50" s="72"/>
      <c r="F50" s="70" t="s">
        <v>1636</v>
      </c>
      <c r="G50" s="71"/>
      <c r="H50" s="72"/>
    </row>
    <row r="51" spans="2:8" s="12" customFormat="1" ht="27" customHeight="1">
      <c r="B51" s="302"/>
      <c r="C51" s="67" t="s">
        <v>1637</v>
      </c>
      <c r="D51" s="68"/>
      <c r="E51" s="69"/>
      <c r="F51" s="67" t="s">
        <v>1639</v>
      </c>
      <c r="G51" s="68"/>
      <c r="H51" s="69"/>
    </row>
    <row r="52" spans="2:8" s="12" customFormat="1" ht="27" customHeight="1">
      <c r="B52" s="302"/>
      <c r="C52" s="70" t="s">
        <v>1638</v>
      </c>
      <c r="D52" s="71"/>
      <c r="E52" s="72"/>
      <c r="F52" s="70" t="s">
        <v>1640</v>
      </c>
      <c r="G52" s="71"/>
      <c r="H52" s="72"/>
    </row>
    <row r="53" spans="2:8" s="12" customFormat="1" ht="27" customHeight="1">
      <c r="B53" s="302"/>
      <c r="C53" s="67" t="s">
        <v>1641</v>
      </c>
      <c r="D53" s="68"/>
      <c r="E53" s="69"/>
      <c r="F53" s="67" t="s">
        <v>1643</v>
      </c>
      <c r="G53" s="68"/>
      <c r="H53" s="69"/>
    </row>
    <row r="54" spans="2:8" s="12" customFormat="1" ht="27" customHeight="1">
      <c r="B54" s="302"/>
      <c r="C54" s="70" t="s">
        <v>1642</v>
      </c>
      <c r="D54" s="71"/>
      <c r="E54" s="72"/>
      <c r="F54" s="70" t="s">
        <v>1644</v>
      </c>
      <c r="G54" s="71"/>
      <c r="H54" s="72"/>
    </row>
    <row r="55" spans="2:8" s="12" customFormat="1" ht="27" customHeight="1">
      <c r="B55" s="302"/>
      <c r="C55" s="67" t="s">
        <v>1645</v>
      </c>
      <c r="D55" s="68"/>
      <c r="E55" s="69"/>
      <c r="F55" s="67" t="s">
        <v>1647</v>
      </c>
      <c r="G55" s="68"/>
      <c r="H55" s="69"/>
    </row>
    <row r="56" spans="2:8" s="12" customFormat="1" ht="27" customHeight="1">
      <c r="B56" s="302"/>
      <c r="C56" s="70" t="s">
        <v>1646</v>
      </c>
      <c r="D56" s="71"/>
      <c r="E56" s="72"/>
      <c r="F56" s="70" t="s">
        <v>1648</v>
      </c>
      <c r="G56" s="71"/>
      <c r="H56" s="72"/>
    </row>
    <row r="57" spans="2:8" s="12" customFormat="1" ht="27" customHeight="1">
      <c r="B57" s="302"/>
      <c r="C57" s="67" t="s">
        <v>1649</v>
      </c>
      <c r="D57" s="68"/>
      <c r="E57" s="69"/>
      <c r="F57" s="67" t="s">
        <v>1651</v>
      </c>
      <c r="G57" s="68"/>
      <c r="H57" s="69"/>
    </row>
    <row r="58" spans="2:8" s="12" customFormat="1" ht="27" customHeight="1">
      <c r="B58" s="302"/>
      <c r="C58" s="70" t="s">
        <v>1650</v>
      </c>
      <c r="D58" s="71"/>
      <c r="E58" s="72"/>
      <c r="F58" s="70" t="s">
        <v>1652</v>
      </c>
      <c r="G58" s="71"/>
      <c r="H58" s="72"/>
    </row>
    <row r="59" spans="2:8" s="12" customFormat="1" ht="27" customHeight="1">
      <c r="B59" s="302"/>
      <c r="C59" s="67" t="s">
        <v>1653</v>
      </c>
      <c r="D59" s="68"/>
      <c r="E59" s="69"/>
      <c r="F59" s="67" t="s">
        <v>1655</v>
      </c>
      <c r="G59" s="68"/>
      <c r="H59" s="69"/>
    </row>
    <row r="60" spans="2:8" s="12" customFormat="1" ht="27" customHeight="1">
      <c r="B60" s="302"/>
      <c r="C60" s="70" t="s">
        <v>1654</v>
      </c>
      <c r="D60" s="71"/>
      <c r="E60" s="72"/>
      <c r="F60" s="70" t="s">
        <v>1656</v>
      </c>
      <c r="G60" s="71"/>
      <c r="H60" s="72"/>
    </row>
    <row r="61" spans="2:8" s="12" customFormat="1" ht="27" customHeight="1">
      <c r="B61" s="302"/>
      <c r="C61" s="67" t="s">
        <v>1657</v>
      </c>
      <c r="D61" s="68"/>
      <c r="E61" s="69"/>
      <c r="F61" s="67" t="s">
        <v>1659</v>
      </c>
      <c r="G61" s="68"/>
      <c r="H61" s="69"/>
    </row>
    <row r="62" spans="2:8" s="12" customFormat="1" ht="27" customHeight="1">
      <c r="B62" s="302"/>
      <c r="C62" s="70" t="s">
        <v>1658</v>
      </c>
      <c r="D62" s="71"/>
      <c r="E62" s="72"/>
      <c r="F62" s="70" t="s">
        <v>1660</v>
      </c>
      <c r="G62" s="71"/>
      <c r="H62" s="72"/>
    </row>
    <row r="63" spans="2:8" s="12" customFormat="1" ht="27" customHeight="1">
      <c r="B63" s="302"/>
      <c r="C63" s="67" t="s">
        <v>1661</v>
      </c>
      <c r="D63" s="68"/>
      <c r="E63" s="69"/>
      <c r="F63" s="67" t="s">
        <v>1680</v>
      </c>
      <c r="G63" s="68"/>
      <c r="H63" s="69"/>
    </row>
    <row r="64" spans="2:8" s="12" customFormat="1" ht="27" customHeight="1">
      <c r="B64" s="302"/>
      <c r="C64" s="70" t="s">
        <v>1662</v>
      </c>
      <c r="D64" s="71"/>
      <c r="E64" s="72"/>
      <c r="F64" s="70" t="s">
        <v>1679</v>
      </c>
      <c r="G64" s="71"/>
      <c r="H64" s="72"/>
    </row>
    <row r="65" spans="2:8" s="12" customFormat="1" ht="27" customHeight="1">
      <c r="B65" s="302"/>
      <c r="C65" s="67" t="s">
        <v>1663</v>
      </c>
      <c r="D65" s="68"/>
      <c r="E65" s="69"/>
      <c r="F65" s="67" t="s">
        <v>1678</v>
      </c>
      <c r="G65" s="68"/>
      <c r="H65" s="69"/>
    </row>
    <row r="66" spans="2:8" s="12" customFormat="1" ht="27" customHeight="1">
      <c r="B66" s="302"/>
      <c r="C66" s="70" t="s">
        <v>1664</v>
      </c>
      <c r="D66" s="71"/>
      <c r="E66" s="72"/>
      <c r="F66" s="70" t="s">
        <v>1673</v>
      </c>
      <c r="G66" s="71"/>
      <c r="H66" s="72"/>
    </row>
    <row r="67" spans="2:8" s="12" customFormat="1" ht="27" customHeight="1">
      <c r="B67" s="302"/>
      <c r="C67" s="67" t="s">
        <v>1665</v>
      </c>
      <c r="D67" s="68"/>
      <c r="E67" s="69"/>
      <c r="F67" s="67" t="s">
        <v>1674</v>
      </c>
      <c r="G67" s="68"/>
      <c r="H67" s="69"/>
    </row>
    <row r="68" spans="2:8" s="12" customFormat="1" ht="27" customHeight="1">
      <c r="B68" s="302"/>
      <c r="C68" s="70" t="s">
        <v>1666</v>
      </c>
      <c r="D68" s="71"/>
      <c r="E68" s="72"/>
      <c r="F68" s="70" t="s">
        <v>1675</v>
      </c>
      <c r="G68" s="71"/>
      <c r="H68" s="72"/>
    </row>
    <row r="69" spans="2:8" s="12" customFormat="1" ht="27" customHeight="1">
      <c r="B69" s="302"/>
      <c r="C69" s="67" t="s">
        <v>1667</v>
      </c>
      <c r="D69" s="68"/>
      <c r="E69" s="69"/>
      <c r="F69" s="67" t="s">
        <v>1676</v>
      </c>
      <c r="G69" s="68"/>
      <c r="H69" s="69"/>
    </row>
    <row r="70" spans="2:8" s="12" customFormat="1" ht="27" customHeight="1">
      <c r="B70" s="302"/>
      <c r="C70" s="70" t="s">
        <v>1668</v>
      </c>
      <c r="D70" s="71"/>
      <c r="E70" s="72"/>
      <c r="F70" s="70" t="s">
        <v>1677</v>
      </c>
      <c r="G70" s="71"/>
      <c r="H70" s="72"/>
    </row>
    <row r="71" spans="2:8" s="12" customFormat="1" ht="27" customHeight="1">
      <c r="B71" s="302"/>
      <c r="C71" s="67" t="s">
        <v>1669</v>
      </c>
      <c r="D71" s="68"/>
      <c r="E71" s="69"/>
      <c r="F71" s="67" t="s">
        <v>1672</v>
      </c>
      <c r="G71" s="68"/>
      <c r="H71" s="69"/>
    </row>
    <row r="72" spans="2:8" s="12" customFormat="1" ht="27" customHeight="1">
      <c r="B72" s="302"/>
      <c r="C72" s="70" t="s">
        <v>1670</v>
      </c>
      <c r="D72" s="71"/>
      <c r="E72" s="72"/>
      <c r="F72" s="70" t="s">
        <v>1671</v>
      </c>
      <c r="G72" s="71"/>
      <c r="H72" s="72"/>
    </row>
    <row r="73" spans="2:8" s="12" customFormat="1" ht="27" customHeight="1">
      <c r="B73" s="302"/>
      <c r="C73" s="67" t="s">
        <v>1720</v>
      </c>
      <c r="D73" s="68"/>
      <c r="E73" s="69"/>
      <c r="F73" s="67" t="s">
        <v>1722</v>
      </c>
      <c r="G73" s="68"/>
      <c r="H73" s="69"/>
    </row>
    <row r="74" spans="2:8" s="12" customFormat="1" ht="27" customHeight="1">
      <c r="B74" s="302"/>
      <c r="C74" s="70" t="s">
        <v>1720</v>
      </c>
      <c r="D74" s="71"/>
      <c r="E74" s="72"/>
      <c r="F74" s="70" t="s">
        <v>1723</v>
      </c>
      <c r="G74" s="71"/>
      <c r="H74" s="72"/>
    </row>
    <row r="75" spans="2:8" s="12" customFormat="1" ht="27" customHeight="1">
      <c r="B75" s="302"/>
      <c r="C75" s="67" t="s">
        <v>1728</v>
      </c>
      <c r="D75" s="68"/>
      <c r="E75" s="69"/>
      <c r="F75" s="67" t="s">
        <v>1736</v>
      </c>
      <c r="G75" s="68"/>
      <c r="H75" s="69"/>
    </row>
    <row r="76" spans="2:8" s="12" customFormat="1" ht="27" customHeight="1">
      <c r="B76" s="302"/>
      <c r="C76" s="70" t="s">
        <v>1729</v>
      </c>
      <c r="D76" s="71"/>
      <c r="E76" s="72"/>
      <c r="F76" s="70" t="s">
        <v>1737</v>
      </c>
      <c r="G76" s="71"/>
      <c r="H76" s="72"/>
    </row>
    <row r="77" spans="2:8" s="12" customFormat="1" ht="27" customHeight="1">
      <c r="B77" s="302"/>
      <c r="C77" s="67" t="s">
        <v>1730</v>
      </c>
      <c r="D77" s="68"/>
      <c r="E77" s="69"/>
      <c r="F77" s="67" t="s">
        <v>1738</v>
      </c>
      <c r="G77" s="68"/>
      <c r="H77" s="69"/>
    </row>
    <row r="78" spans="2:8" s="12" customFormat="1" ht="27" customHeight="1">
      <c r="B78" s="302"/>
      <c r="C78" s="70" t="s">
        <v>1731</v>
      </c>
      <c r="D78" s="71"/>
      <c r="E78" s="72"/>
      <c r="F78" s="70" t="s">
        <v>1739</v>
      </c>
      <c r="G78" s="71"/>
      <c r="H78" s="72"/>
    </row>
    <row r="79" spans="2:8" s="12" customFormat="1" ht="27" customHeight="1">
      <c r="B79" s="302"/>
      <c r="C79" s="67" t="s">
        <v>1732</v>
      </c>
      <c r="D79" s="68"/>
      <c r="E79" s="69"/>
      <c r="F79" s="67" t="s">
        <v>1735</v>
      </c>
      <c r="G79" s="68"/>
      <c r="H79" s="69"/>
    </row>
    <row r="80" spans="2:8" s="12" customFormat="1" ht="27" customHeight="1">
      <c r="B80" s="302"/>
      <c r="C80" s="70" t="s">
        <v>1733</v>
      </c>
      <c r="D80" s="71"/>
      <c r="E80" s="72"/>
      <c r="F80" s="70" t="s">
        <v>1734</v>
      </c>
      <c r="G80" s="71"/>
      <c r="H80" s="72"/>
    </row>
    <row r="82" ht="12.75">
      <c r="C82" s="65" t="s">
        <v>1681</v>
      </c>
    </row>
  </sheetData>
  <sheetProtection/>
  <mergeCells count="41">
    <mergeCell ref="E10:F10"/>
    <mergeCell ref="E2:H2"/>
    <mergeCell ref="E5:H5"/>
    <mergeCell ref="E6:H6"/>
    <mergeCell ref="E3:H4"/>
    <mergeCell ref="E8:F8"/>
    <mergeCell ref="B31:B3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5:B36"/>
    <mergeCell ref="B37:B38"/>
    <mergeCell ref="B39:B40"/>
    <mergeCell ref="B41:B42"/>
    <mergeCell ref="B69:B70"/>
    <mergeCell ref="B71:B72"/>
    <mergeCell ref="B53:B54"/>
    <mergeCell ref="B55:B56"/>
    <mergeCell ref="B57:B58"/>
    <mergeCell ref="B59:B60"/>
    <mergeCell ref="B61:B62"/>
    <mergeCell ref="B2:D7"/>
    <mergeCell ref="B63:B64"/>
    <mergeCell ref="B65:B66"/>
    <mergeCell ref="B67:B68"/>
    <mergeCell ref="B43:B44"/>
    <mergeCell ref="B45:B46"/>
    <mergeCell ref="B47:B48"/>
    <mergeCell ref="B49:B50"/>
    <mergeCell ref="B51:B52"/>
    <mergeCell ref="B33:B34"/>
    <mergeCell ref="B73:B74"/>
    <mergeCell ref="B75:B76"/>
    <mergeCell ref="B77:B78"/>
    <mergeCell ref="B79:B80"/>
  </mergeCells>
  <printOptions/>
  <pageMargins left="0.2362204724409449" right="0.2362204724409449" top="0.1968503937007874" bottom="0.15748031496062992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72"/>
  <sheetViews>
    <sheetView zoomScalePageLayoutView="0" workbookViewId="0" topLeftCell="A61">
      <selection activeCell="J11" sqref="J11"/>
    </sheetView>
  </sheetViews>
  <sheetFormatPr defaultColWidth="11.421875" defaultRowHeight="12.75"/>
  <cols>
    <col min="1" max="1" width="2.140625" style="0" customWidth="1"/>
    <col min="2" max="2" width="36.28125" style="0" customWidth="1"/>
    <col min="3" max="3" width="6.28125" style="33" customWidth="1"/>
    <col min="4" max="4" width="3.7109375" style="33" customWidth="1"/>
    <col min="5" max="5" width="34.7109375" style="0" customWidth="1"/>
    <col min="6" max="6" width="6.28125" style="33" customWidth="1"/>
    <col min="7" max="7" width="3.7109375" style="33" customWidth="1"/>
  </cols>
  <sheetData>
    <row r="1" ht="6" customHeight="1" thickBot="1"/>
    <row r="2" spans="2:7" ht="19.5" customHeight="1">
      <c r="B2" s="38"/>
      <c r="C2" s="315" t="s">
        <v>1544</v>
      </c>
      <c r="D2" s="316"/>
      <c r="E2" s="316"/>
      <c r="F2" s="316"/>
      <c r="G2" s="317"/>
    </row>
    <row r="3" spans="2:7" ht="18" customHeight="1">
      <c r="B3" s="39"/>
      <c r="C3" s="318" t="s">
        <v>1784</v>
      </c>
      <c r="D3" s="319"/>
      <c r="E3" s="319"/>
      <c r="F3" s="319"/>
      <c r="G3" s="320"/>
    </row>
    <row r="4" spans="2:7" ht="23.25" customHeight="1">
      <c r="B4" s="39"/>
      <c r="C4" s="321" t="s">
        <v>1543</v>
      </c>
      <c r="D4" s="322"/>
      <c r="E4" s="322"/>
      <c r="F4" s="322"/>
      <c r="G4" s="323"/>
    </row>
    <row r="5" spans="2:7" ht="19.5" customHeight="1">
      <c r="B5" s="39"/>
      <c r="C5" s="318" t="s">
        <v>1785</v>
      </c>
      <c r="D5" s="319"/>
      <c r="E5" s="319"/>
      <c r="F5" s="319"/>
      <c r="G5" s="320"/>
    </row>
    <row r="6" spans="2:7" ht="14.25" customHeight="1">
      <c r="B6" s="39"/>
      <c r="C6" s="73"/>
      <c r="D6" s="74"/>
      <c r="E6" s="74" t="s">
        <v>1787</v>
      </c>
      <c r="F6" s="74"/>
      <c r="G6" s="75"/>
    </row>
    <row r="7" spans="2:7" ht="17.25" customHeight="1">
      <c r="B7" s="39"/>
      <c r="C7" s="318" t="s">
        <v>1786</v>
      </c>
      <c r="D7" s="319"/>
      <c r="E7" s="319"/>
      <c r="F7" s="319"/>
      <c r="G7" s="320"/>
    </row>
    <row r="8" spans="2:7" ht="9" customHeight="1" thickBot="1">
      <c r="B8" s="40"/>
      <c r="C8" s="41"/>
      <c r="D8" s="42"/>
      <c r="E8" s="43"/>
      <c r="F8" s="42"/>
      <c r="G8" s="44"/>
    </row>
    <row r="9" ht="1.5" customHeight="1"/>
    <row r="10" spans="2:7" ht="20.25" customHeight="1">
      <c r="B10" s="35" t="s">
        <v>1550</v>
      </c>
      <c r="C10" s="36" t="s">
        <v>1547</v>
      </c>
      <c r="D10" s="36"/>
      <c r="E10" s="35"/>
      <c r="F10" s="36"/>
      <c r="G10" s="36"/>
    </row>
    <row r="11" spans="2:7" ht="20.25" customHeight="1">
      <c r="B11" s="35" t="s">
        <v>1549</v>
      </c>
      <c r="C11" s="36" t="s">
        <v>1682</v>
      </c>
      <c r="D11" s="36"/>
      <c r="E11" s="35"/>
      <c r="F11" s="36"/>
      <c r="G11" s="36"/>
    </row>
    <row r="12" spans="2:7" ht="20.25" customHeight="1">
      <c r="B12" s="35" t="s">
        <v>1554</v>
      </c>
      <c r="C12" s="36" t="s">
        <v>1683</v>
      </c>
      <c r="D12" s="36"/>
      <c r="E12" s="35"/>
      <c r="F12" s="36"/>
      <c r="G12" s="36"/>
    </row>
    <row r="13" spans="2:7" ht="20.25" customHeight="1">
      <c r="B13" s="35" t="s">
        <v>1557</v>
      </c>
      <c r="C13" s="36" t="s">
        <v>1684</v>
      </c>
      <c r="D13" s="36"/>
      <c r="E13" s="35"/>
      <c r="F13" s="36"/>
      <c r="G13" s="36"/>
    </row>
    <row r="14" spans="2:7" ht="20.25" customHeight="1">
      <c r="B14" s="35" t="s">
        <v>1558</v>
      </c>
      <c r="C14" s="36" t="s">
        <v>1685</v>
      </c>
      <c r="D14" s="36"/>
      <c r="E14" s="35"/>
      <c r="F14" s="36"/>
      <c r="G14" s="36"/>
    </row>
    <row r="16" spans="2:6" ht="15.75">
      <c r="B16" s="34" t="s">
        <v>1559</v>
      </c>
      <c r="C16" s="37" t="s">
        <v>1560</v>
      </c>
      <c r="E16" s="34" t="s">
        <v>1559</v>
      </c>
      <c r="F16" s="37" t="s">
        <v>1560</v>
      </c>
    </row>
    <row r="17" spans="2:7" s="32" customFormat="1" ht="27" customHeight="1">
      <c r="B17" s="52">
        <v>1</v>
      </c>
      <c r="C17" s="47"/>
      <c r="D17" s="47"/>
      <c r="E17" s="52">
        <v>2</v>
      </c>
      <c r="F17" s="50"/>
      <c r="G17" s="50"/>
    </row>
    <row r="18" spans="2:7" s="32" customFormat="1" ht="27" customHeight="1">
      <c r="B18" s="52">
        <v>3</v>
      </c>
      <c r="C18" s="47"/>
      <c r="D18" s="47"/>
      <c r="E18" s="52">
        <v>4</v>
      </c>
      <c r="F18" s="50"/>
      <c r="G18" s="50"/>
    </row>
    <row r="19" spans="2:7" s="32" customFormat="1" ht="27" customHeight="1">
      <c r="B19" s="52">
        <v>5</v>
      </c>
      <c r="C19" s="47"/>
      <c r="D19" s="47"/>
      <c r="E19" s="52">
        <v>6</v>
      </c>
      <c r="F19" s="50"/>
      <c r="G19" s="50"/>
    </row>
    <row r="20" spans="2:7" s="32" customFormat="1" ht="27" customHeight="1">
      <c r="B20" s="52">
        <v>7</v>
      </c>
      <c r="C20" s="47"/>
      <c r="D20" s="47"/>
      <c r="E20" s="52">
        <v>8</v>
      </c>
      <c r="F20" s="50"/>
      <c r="G20" s="50"/>
    </row>
    <row r="21" spans="2:7" s="32" customFormat="1" ht="27" customHeight="1">
      <c r="B21" s="52">
        <v>9</v>
      </c>
      <c r="C21" s="47"/>
      <c r="D21" s="47"/>
      <c r="E21" s="52">
        <v>10</v>
      </c>
      <c r="F21" s="50"/>
      <c r="G21" s="50"/>
    </row>
    <row r="22" spans="2:7" s="32" customFormat="1" ht="27" customHeight="1">
      <c r="B22" s="52">
        <v>11</v>
      </c>
      <c r="C22" s="47"/>
      <c r="D22" s="47"/>
      <c r="E22" s="52">
        <v>12</v>
      </c>
      <c r="F22" s="50"/>
      <c r="G22" s="50"/>
    </row>
    <row r="23" spans="2:7" s="32" customFormat="1" ht="27" customHeight="1">
      <c r="B23" s="52">
        <v>13</v>
      </c>
      <c r="C23" s="47"/>
      <c r="D23" s="47"/>
      <c r="E23" s="52">
        <v>14</v>
      </c>
      <c r="F23" s="50"/>
      <c r="G23" s="50"/>
    </row>
    <row r="24" spans="2:7" s="32" customFormat="1" ht="27" customHeight="1">
      <c r="B24" s="52">
        <v>15</v>
      </c>
      <c r="C24" s="47"/>
      <c r="D24" s="47"/>
      <c r="E24" s="52">
        <v>16</v>
      </c>
      <c r="F24" s="50"/>
      <c r="G24" s="50"/>
    </row>
    <row r="25" spans="2:7" s="32" customFormat="1" ht="27" customHeight="1">
      <c r="B25" s="52">
        <v>17</v>
      </c>
      <c r="C25" s="47"/>
      <c r="D25" s="47"/>
      <c r="E25" s="52">
        <v>18</v>
      </c>
      <c r="F25" s="50"/>
      <c r="G25" s="50"/>
    </row>
    <row r="26" spans="2:7" s="32" customFormat="1" ht="27" customHeight="1">
      <c r="B26" s="52">
        <v>19</v>
      </c>
      <c r="C26" s="47"/>
      <c r="D26" s="47"/>
      <c r="E26" s="52">
        <v>20</v>
      </c>
      <c r="F26" s="50"/>
      <c r="G26" s="50"/>
    </row>
    <row r="27" spans="2:7" s="32" customFormat="1" ht="27" customHeight="1">
      <c r="B27" s="52">
        <v>21</v>
      </c>
      <c r="C27" s="47"/>
      <c r="D27" s="47"/>
      <c r="E27" s="52">
        <v>22</v>
      </c>
      <c r="F27" s="50"/>
      <c r="G27" s="50"/>
    </row>
    <row r="28" spans="2:7" s="32" customFormat="1" ht="27" customHeight="1">
      <c r="B28" s="52">
        <v>23</v>
      </c>
      <c r="C28" s="47"/>
      <c r="D28" s="47"/>
      <c r="E28" s="52">
        <v>24</v>
      </c>
      <c r="F28" s="50"/>
      <c r="G28" s="50"/>
    </row>
    <row r="29" spans="2:7" s="32" customFormat="1" ht="27" customHeight="1">
      <c r="B29" s="52">
        <v>25</v>
      </c>
      <c r="C29" s="47"/>
      <c r="D29" s="47"/>
      <c r="E29" s="52">
        <v>26</v>
      </c>
      <c r="F29" s="50"/>
      <c r="G29" s="50"/>
    </row>
    <row r="30" spans="2:7" s="32" customFormat="1" ht="27" customHeight="1">
      <c r="B30" s="52">
        <v>27</v>
      </c>
      <c r="C30" s="47"/>
      <c r="D30" s="47"/>
      <c r="E30" s="52">
        <v>28</v>
      </c>
      <c r="F30" s="50"/>
      <c r="G30" s="50"/>
    </row>
    <row r="31" spans="2:7" s="32" customFormat="1" ht="27" customHeight="1">
      <c r="B31" s="52">
        <v>29</v>
      </c>
      <c r="C31" s="47"/>
      <c r="D31" s="47"/>
      <c r="E31" s="52">
        <v>30</v>
      </c>
      <c r="F31" s="50"/>
      <c r="G31" s="50"/>
    </row>
    <row r="32" spans="2:7" s="32" customFormat="1" ht="27" customHeight="1">
      <c r="B32" s="52">
        <v>31</v>
      </c>
      <c r="C32" s="47"/>
      <c r="D32" s="47"/>
      <c r="E32" s="52">
        <v>32</v>
      </c>
      <c r="F32" s="50"/>
      <c r="G32" s="50"/>
    </row>
    <row r="33" spans="2:7" s="32" customFormat="1" ht="27" customHeight="1">
      <c r="B33" s="52">
        <v>33</v>
      </c>
      <c r="C33" s="47"/>
      <c r="D33" s="47"/>
      <c r="E33" s="52">
        <v>34</v>
      </c>
      <c r="F33" s="50"/>
      <c r="G33" s="50"/>
    </row>
    <row r="34" spans="2:7" s="32" customFormat="1" ht="27" customHeight="1">
      <c r="B34" s="52">
        <v>35</v>
      </c>
      <c r="C34" s="47"/>
      <c r="D34" s="47"/>
      <c r="E34" s="52">
        <v>36</v>
      </c>
      <c r="F34" s="50"/>
      <c r="G34" s="50"/>
    </row>
    <row r="35" spans="2:7" s="32" customFormat="1" ht="27" customHeight="1">
      <c r="B35" s="52">
        <v>37</v>
      </c>
      <c r="C35" s="47"/>
      <c r="D35" s="47"/>
      <c r="E35" s="52">
        <v>38</v>
      </c>
      <c r="F35" s="50"/>
      <c r="G35" s="50"/>
    </row>
    <row r="36" spans="2:7" s="32" customFormat="1" ht="27" customHeight="1">
      <c r="B36" s="52">
        <v>39</v>
      </c>
      <c r="C36" s="47"/>
      <c r="D36" s="47"/>
      <c r="E36" s="52">
        <v>40</v>
      </c>
      <c r="F36" s="50"/>
      <c r="G36" s="50"/>
    </row>
    <row r="37" spans="2:7" s="32" customFormat="1" ht="27" customHeight="1">
      <c r="B37" s="52">
        <v>41</v>
      </c>
      <c r="C37" s="47"/>
      <c r="D37" s="47"/>
      <c r="E37" s="52">
        <v>42</v>
      </c>
      <c r="F37" s="50"/>
      <c r="G37" s="50"/>
    </row>
    <row r="38" spans="2:7" s="32" customFormat="1" ht="27" customHeight="1">
      <c r="B38" s="52">
        <v>43</v>
      </c>
      <c r="C38" s="47"/>
      <c r="D38" s="47"/>
      <c r="E38" s="52">
        <v>44</v>
      </c>
      <c r="F38" s="50"/>
      <c r="G38" s="50"/>
    </row>
    <row r="39" spans="2:7" s="32" customFormat="1" ht="27" customHeight="1">
      <c r="B39" s="52">
        <v>45</v>
      </c>
      <c r="C39" s="47"/>
      <c r="D39" s="47"/>
      <c r="E39" s="52">
        <v>46</v>
      </c>
      <c r="F39" s="50"/>
      <c r="G39" s="50"/>
    </row>
    <row r="40" spans="2:7" s="32" customFormat="1" ht="27" customHeight="1">
      <c r="B40" s="52">
        <v>47</v>
      </c>
      <c r="C40" s="47"/>
      <c r="D40" s="47"/>
      <c r="E40" s="52">
        <v>48</v>
      </c>
      <c r="F40" s="50"/>
      <c r="G40" s="50"/>
    </row>
    <row r="41" spans="2:7" s="32" customFormat="1" ht="27" customHeight="1">
      <c r="B41" s="52">
        <v>49</v>
      </c>
      <c r="C41" s="47"/>
      <c r="D41" s="47"/>
      <c r="E41" s="52">
        <v>50</v>
      </c>
      <c r="F41" s="50"/>
      <c r="G41" s="50"/>
    </row>
    <row r="42" spans="2:7" s="32" customFormat="1" ht="27" customHeight="1">
      <c r="B42" s="52">
        <v>51</v>
      </c>
      <c r="C42" s="47"/>
      <c r="D42" s="47"/>
      <c r="E42" s="52">
        <v>52</v>
      </c>
      <c r="F42" s="50"/>
      <c r="G42" s="50"/>
    </row>
    <row r="43" spans="2:7" s="32" customFormat="1" ht="27" customHeight="1">
      <c r="B43" s="52">
        <v>53</v>
      </c>
      <c r="C43" s="47"/>
      <c r="D43" s="47"/>
      <c r="E43" s="52">
        <v>54</v>
      </c>
      <c r="F43" s="50"/>
      <c r="G43" s="50"/>
    </row>
    <row r="44" spans="2:7" s="32" customFormat="1" ht="27" customHeight="1">
      <c r="B44" s="52">
        <v>55</v>
      </c>
      <c r="C44" s="47"/>
      <c r="D44" s="47"/>
      <c r="E44" s="52">
        <v>56</v>
      </c>
      <c r="F44" s="50"/>
      <c r="G44" s="50"/>
    </row>
    <row r="45" spans="2:7" s="32" customFormat="1" ht="27" customHeight="1">
      <c r="B45" s="52">
        <v>57</v>
      </c>
      <c r="C45" s="47"/>
      <c r="D45" s="47"/>
      <c r="E45" s="52">
        <v>58</v>
      </c>
      <c r="F45" s="50"/>
      <c r="G45" s="50"/>
    </row>
    <row r="46" spans="2:7" s="32" customFormat="1" ht="27" customHeight="1">
      <c r="B46" s="53">
        <v>59</v>
      </c>
      <c r="C46" s="46"/>
      <c r="D46" s="46"/>
      <c r="E46" s="53">
        <v>60</v>
      </c>
      <c r="F46" s="51"/>
      <c r="G46" s="51"/>
    </row>
    <row r="47" spans="2:7" s="32" customFormat="1" ht="27" customHeight="1">
      <c r="B47" s="52">
        <v>61</v>
      </c>
      <c r="C47" s="47"/>
      <c r="D47" s="47"/>
      <c r="E47" s="52">
        <v>62</v>
      </c>
      <c r="F47" s="50"/>
      <c r="G47" s="50"/>
    </row>
    <row r="48" spans="2:7" s="32" customFormat="1" ht="27" customHeight="1">
      <c r="B48" s="52">
        <v>63</v>
      </c>
      <c r="C48" s="47"/>
      <c r="D48" s="47"/>
      <c r="E48" s="52">
        <v>64</v>
      </c>
      <c r="F48" s="50"/>
      <c r="G48" s="50"/>
    </row>
    <row r="49" spans="2:7" s="32" customFormat="1" ht="27" customHeight="1">
      <c r="B49" s="52">
        <v>65</v>
      </c>
      <c r="C49" s="47"/>
      <c r="D49" s="47"/>
      <c r="E49" s="52">
        <v>66</v>
      </c>
      <c r="F49" s="50"/>
      <c r="G49" s="50"/>
    </row>
    <row r="50" spans="2:7" s="32" customFormat="1" ht="27" customHeight="1">
      <c r="B50" s="52">
        <v>67</v>
      </c>
      <c r="C50" s="47"/>
      <c r="D50" s="47"/>
      <c r="E50" s="52">
        <v>68</v>
      </c>
      <c r="F50" s="50"/>
      <c r="G50" s="50"/>
    </row>
    <row r="51" spans="2:7" s="32" customFormat="1" ht="27" customHeight="1">
      <c r="B51" s="52">
        <v>69</v>
      </c>
      <c r="C51" s="47"/>
      <c r="D51" s="47"/>
      <c r="E51" s="52">
        <v>70</v>
      </c>
      <c r="F51" s="50"/>
      <c r="G51" s="50"/>
    </row>
    <row r="52" spans="2:7" s="32" customFormat="1" ht="27" customHeight="1">
      <c r="B52" s="52">
        <v>71</v>
      </c>
      <c r="C52" s="47"/>
      <c r="D52" s="47"/>
      <c r="E52" s="52">
        <v>72</v>
      </c>
      <c r="F52" s="50"/>
      <c r="G52" s="50"/>
    </row>
    <row r="53" spans="2:7" s="32" customFormat="1" ht="27" customHeight="1">
      <c r="B53" s="52">
        <v>73</v>
      </c>
      <c r="C53" s="47"/>
      <c r="D53" s="47"/>
      <c r="E53" s="52">
        <v>74</v>
      </c>
      <c r="F53" s="50"/>
      <c r="G53" s="50"/>
    </row>
    <row r="54" spans="2:7" s="32" customFormat="1" ht="27" customHeight="1">
      <c r="B54" s="52">
        <v>75</v>
      </c>
      <c r="C54" s="47"/>
      <c r="D54" s="47"/>
      <c r="E54" s="52">
        <v>76</v>
      </c>
      <c r="F54" s="50"/>
      <c r="G54" s="50"/>
    </row>
    <row r="55" spans="2:7" s="32" customFormat="1" ht="27" customHeight="1">
      <c r="B55" s="52">
        <v>77</v>
      </c>
      <c r="C55" s="47"/>
      <c r="D55" s="47"/>
      <c r="E55" s="52">
        <v>78</v>
      </c>
      <c r="F55" s="50"/>
      <c r="G55" s="50"/>
    </row>
    <row r="56" spans="2:7" s="32" customFormat="1" ht="27" customHeight="1">
      <c r="B56" s="53">
        <v>79</v>
      </c>
      <c r="C56" s="46"/>
      <c r="D56" s="46"/>
      <c r="E56" s="53">
        <v>80</v>
      </c>
      <c r="F56" s="51"/>
      <c r="G56" s="51"/>
    </row>
    <row r="57" spans="2:7" s="32" customFormat="1" ht="27" customHeight="1">
      <c r="B57" s="52">
        <v>81</v>
      </c>
      <c r="C57" s="47"/>
      <c r="D57" s="47"/>
      <c r="E57" s="52">
        <v>82</v>
      </c>
      <c r="F57" s="50"/>
      <c r="G57" s="50"/>
    </row>
    <row r="58" spans="2:7" s="32" customFormat="1" ht="27" customHeight="1">
      <c r="B58" s="52">
        <v>83</v>
      </c>
      <c r="C58" s="47"/>
      <c r="D58" s="47"/>
      <c r="E58" s="52">
        <v>84</v>
      </c>
      <c r="F58" s="50"/>
      <c r="G58" s="50"/>
    </row>
    <row r="59" spans="2:7" s="32" customFormat="1" ht="27" customHeight="1">
      <c r="B59" s="52">
        <v>85</v>
      </c>
      <c r="C59" s="47"/>
      <c r="D59" s="47"/>
      <c r="E59" s="52">
        <v>86</v>
      </c>
      <c r="F59" s="50"/>
      <c r="G59" s="50"/>
    </row>
    <row r="60" spans="2:7" s="32" customFormat="1" ht="27" customHeight="1">
      <c r="B60" s="52">
        <v>87</v>
      </c>
      <c r="C60" s="47"/>
      <c r="D60" s="47"/>
      <c r="E60" s="52">
        <v>88</v>
      </c>
      <c r="F60" s="50"/>
      <c r="G60" s="50"/>
    </row>
    <row r="61" spans="2:7" s="32" customFormat="1" ht="27" customHeight="1">
      <c r="B61" s="52">
        <v>89</v>
      </c>
      <c r="C61" s="47"/>
      <c r="D61" s="47"/>
      <c r="E61" s="52">
        <v>90</v>
      </c>
      <c r="F61" s="50"/>
      <c r="G61" s="50"/>
    </row>
    <row r="62" spans="2:7" s="32" customFormat="1" ht="27" customHeight="1">
      <c r="B62" s="52">
        <v>71</v>
      </c>
      <c r="C62" s="47"/>
      <c r="D62" s="47"/>
      <c r="E62" s="52">
        <v>92</v>
      </c>
      <c r="F62" s="50"/>
      <c r="G62" s="50"/>
    </row>
    <row r="63" spans="2:7" s="32" customFormat="1" ht="27" customHeight="1">
      <c r="B63" s="52">
        <v>73</v>
      </c>
      <c r="C63" s="47"/>
      <c r="D63" s="47"/>
      <c r="E63" s="52">
        <v>94</v>
      </c>
      <c r="F63" s="50"/>
      <c r="G63" s="50"/>
    </row>
    <row r="64" spans="2:7" s="32" customFormat="1" ht="27" customHeight="1">
      <c r="B64" s="52">
        <v>75</v>
      </c>
      <c r="C64" s="47"/>
      <c r="D64" s="47"/>
      <c r="E64" s="52">
        <v>96</v>
      </c>
      <c r="F64" s="50"/>
      <c r="G64" s="50"/>
    </row>
    <row r="65" spans="2:7" s="32" customFormat="1" ht="27" customHeight="1">
      <c r="B65" s="52">
        <v>77</v>
      </c>
      <c r="C65" s="47"/>
      <c r="D65" s="47"/>
      <c r="E65" s="52">
        <v>98</v>
      </c>
      <c r="F65" s="50"/>
      <c r="G65" s="50"/>
    </row>
    <row r="66" spans="2:7" s="32" customFormat="1" ht="27" customHeight="1">
      <c r="B66" s="53">
        <v>79</v>
      </c>
      <c r="C66" s="46"/>
      <c r="D66" s="46"/>
      <c r="E66" s="53">
        <v>100</v>
      </c>
      <c r="F66" s="51"/>
      <c r="G66" s="51"/>
    </row>
    <row r="67" spans="2:7" s="32" customFormat="1" ht="27" customHeight="1">
      <c r="B67" s="53" t="s">
        <v>856</v>
      </c>
      <c r="C67" s="46"/>
      <c r="D67" s="46"/>
      <c r="E67" s="53" t="s">
        <v>856</v>
      </c>
      <c r="F67" s="51"/>
      <c r="G67" s="51"/>
    </row>
    <row r="68" spans="2:7" s="32" customFormat="1" ht="27" customHeight="1">
      <c r="B68" s="53" t="s">
        <v>856</v>
      </c>
      <c r="C68" s="46"/>
      <c r="D68" s="46"/>
      <c r="E68" s="53" t="s">
        <v>856</v>
      </c>
      <c r="F68" s="51"/>
      <c r="G68" s="51"/>
    </row>
    <row r="69" spans="2:7" s="32" customFormat="1" ht="27" customHeight="1">
      <c r="B69" s="53" t="s">
        <v>856</v>
      </c>
      <c r="C69" s="46"/>
      <c r="D69" s="46"/>
      <c r="E69" s="53" t="s">
        <v>856</v>
      </c>
      <c r="F69" s="51"/>
      <c r="G69" s="51"/>
    </row>
    <row r="70" spans="2:7" s="32" customFormat="1" ht="27" customHeight="1">
      <c r="B70" s="53" t="s">
        <v>856</v>
      </c>
      <c r="C70" s="46"/>
      <c r="D70" s="46"/>
      <c r="E70" s="53" t="s">
        <v>856</v>
      </c>
      <c r="F70" s="51"/>
      <c r="G70" s="51"/>
    </row>
    <row r="71" spans="2:7" s="32" customFormat="1" ht="27" customHeight="1">
      <c r="B71" s="53" t="s">
        <v>856</v>
      </c>
      <c r="C71" s="46"/>
      <c r="D71" s="46"/>
      <c r="E71" s="53" t="s">
        <v>856</v>
      </c>
      <c r="F71" s="51"/>
      <c r="G71" s="51"/>
    </row>
    <row r="72" spans="2:7" s="32" customFormat="1" ht="27" customHeight="1">
      <c r="B72" s="53" t="s">
        <v>856</v>
      </c>
      <c r="C72" s="46"/>
      <c r="D72" s="46"/>
      <c r="E72" s="53" t="s">
        <v>856</v>
      </c>
      <c r="F72" s="51"/>
      <c r="G72" s="51"/>
    </row>
  </sheetData>
  <sheetProtection/>
  <mergeCells count="5">
    <mergeCell ref="C7:G7"/>
    <mergeCell ref="C2:G2"/>
    <mergeCell ref="C3:G3"/>
    <mergeCell ref="C4:G4"/>
    <mergeCell ref="C5:G5"/>
  </mergeCells>
  <printOptions/>
  <pageMargins left="0.31496062992125984" right="0" top="0.15748031496062992" bottom="0.35433070866141736" header="0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F84"/>
  <sheetViews>
    <sheetView zoomScalePageLayoutView="0" workbookViewId="0" topLeftCell="A62">
      <selection activeCell="C83" sqref="C83"/>
    </sheetView>
  </sheetViews>
  <sheetFormatPr defaultColWidth="11.421875" defaultRowHeight="12.75"/>
  <cols>
    <col min="1" max="1" width="2.140625" style="0" customWidth="1"/>
    <col min="2" max="2" width="5.7109375" style="61" customWidth="1"/>
    <col min="3" max="3" width="36.00390625" style="0" customWidth="1"/>
    <col min="4" max="4" width="5.28125" style="33" customWidth="1"/>
    <col min="5" max="5" width="36.00390625" style="0" customWidth="1"/>
    <col min="6" max="6" width="5.421875" style="33" customWidth="1"/>
  </cols>
  <sheetData>
    <row r="1" ht="6" customHeight="1" thickBot="1"/>
    <row r="2" spans="2:6" ht="19.5" customHeight="1">
      <c r="B2" s="62"/>
      <c r="C2" s="54"/>
      <c r="D2" s="315" t="s">
        <v>1544</v>
      </c>
      <c r="E2" s="316"/>
      <c r="F2" s="317"/>
    </row>
    <row r="3" spans="2:6" ht="18" customHeight="1">
      <c r="B3" s="63"/>
      <c r="C3" s="55"/>
      <c r="D3" s="318" t="s">
        <v>1545</v>
      </c>
      <c r="E3" s="319"/>
      <c r="F3" s="320"/>
    </row>
    <row r="4" spans="2:6" ht="23.25" customHeight="1">
      <c r="B4" s="63"/>
      <c r="C4" s="55"/>
      <c r="D4" s="321" t="s">
        <v>1543</v>
      </c>
      <c r="E4" s="322"/>
      <c r="F4" s="323"/>
    </row>
    <row r="5" spans="2:6" ht="19.5" customHeight="1">
      <c r="B5" s="63"/>
      <c r="C5" s="55"/>
      <c r="D5" s="318" t="s">
        <v>1546</v>
      </c>
      <c r="E5" s="319"/>
      <c r="F5" s="320"/>
    </row>
    <row r="6" spans="2:6" ht="21" customHeight="1">
      <c r="B6" s="63"/>
      <c r="C6" s="55"/>
      <c r="D6" s="318" t="s">
        <v>1786</v>
      </c>
      <c r="E6" s="319"/>
      <c r="F6" s="320"/>
    </row>
    <row r="7" spans="2:6" ht="6.75" customHeight="1" thickBot="1">
      <c r="B7" s="64"/>
      <c r="C7" s="56"/>
      <c r="D7" s="41"/>
      <c r="E7" s="43"/>
      <c r="F7" s="44"/>
    </row>
    <row r="9" spans="3:6" ht="20.25" customHeight="1">
      <c r="C9" s="35" t="s">
        <v>1550</v>
      </c>
      <c r="D9" s="36" t="s">
        <v>1547</v>
      </c>
      <c r="E9" s="35"/>
      <c r="F9" s="36"/>
    </row>
    <row r="10" spans="3:6" ht="20.25" customHeight="1">
      <c r="C10" s="35" t="s">
        <v>1549</v>
      </c>
      <c r="D10" s="36" t="s">
        <v>1548</v>
      </c>
      <c r="E10" s="35"/>
      <c r="F10" s="36"/>
    </row>
    <row r="11" spans="3:6" ht="20.25" customHeight="1">
      <c r="C11" s="35" t="s">
        <v>1552</v>
      </c>
      <c r="D11" s="36" t="s">
        <v>1551</v>
      </c>
      <c r="E11" s="35"/>
      <c r="F11" s="36"/>
    </row>
    <row r="12" spans="3:6" ht="20.25" customHeight="1">
      <c r="C12" s="35" t="s">
        <v>1554</v>
      </c>
      <c r="D12" s="36" t="s">
        <v>1553</v>
      </c>
      <c r="E12" s="35"/>
      <c r="F12" s="36"/>
    </row>
    <row r="13" spans="3:6" ht="20.25" customHeight="1">
      <c r="C13" s="35" t="s">
        <v>1557</v>
      </c>
      <c r="D13" s="36" t="s">
        <v>1555</v>
      </c>
      <c r="E13" s="35"/>
      <c r="F13" s="36"/>
    </row>
    <row r="14" spans="3:6" ht="20.25" customHeight="1">
      <c r="C14" s="35" t="s">
        <v>1558</v>
      </c>
      <c r="D14" s="36" t="s">
        <v>1556</v>
      </c>
      <c r="E14" s="35"/>
      <c r="F14" s="36"/>
    </row>
    <row r="16" spans="2:6" ht="15.75">
      <c r="B16" s="37" t="s">
        <v>1687</v>
      </c>
      <c r="C16" s="34" t="s">
        <v>1559</v>
      </c>
      <c r="D16" s="37" t="s">
        <v>1560</v>
      </c>
      <c r="E16" s="34" t="s">
        <v>1559</v>
      </c>
      <c r="F16" s="37" t="s">
        <v>1560</v>
      </c>
    </row>
    <row r="17" spans="2:6" s="45" customFormat="1" ht="15">
      <c r="B17" s="324" t="s">
        <v>1688</v>
      </c>
      <c r="C17" s="57" t="s">
        <v>1561</v>
      </c>
      <c r="D17" s="58"/>
      <c r="E17" s="57" t="s">
        <v>1563</v>
      </c>
      <c r="F17" s="47"/>
    </row>
    <row r="18" spans="2:6" s="45" customFormat="1" ht="15">
      <c r="B18" s="325"/>
      <c r="C18" s="59" t="s">
        <v>1562</v>
      </c>
      <c r="D18" s="60"/>
      <c r="E18" s="59" t="s">
        <v>1564</v>
      </c>
      <c r="F18" s="48"/>
    </row>
    <row r="19" spans="2:6" s="45" customFormat="1" ht="15">
      <c r="B19" s="324" t="s">
        <v>1689</v>
      </c>
      <c r="C19" s="57" t="s">
        <v>1565</v>
      </c>
      <c r="D19" s="58"/>
      <c r="E19" s="57" t="s">
        <v>1567</v>
      </c>
      <c r="F19" s="47"/>
    </row>
    <row r="20" spans="2:6" s="45" customFormat="1" ht="15">
      <c r="B20" s="325"/>
      <c r="C20" s="59" t="s">
        <v>1566</v>
      </c>
      <c r="D20" s="60"/>
      <c r="E20" s="59" t="s">
        <v>1568</v>
      </c>
      <c r="F20" s="48"/>
    </row>
    <row r="21" spans="2:6" s="45" customFormat="1" ht="15">
      <c r="B21" s="324" t="s">
        <v>1690</v>
      </c>
      <c r="C21" s="57" t="s">
        <v>1569</v>
      </c>
      <c r="D21" s="58"/>
      <c r="E21" s="57" t="s">
        <v>1571</v>
      </c>
      <c r="F21" s="47"/>
    </row>
    <row r="22" spans="2:6" s="45" customFormat="1" ht="15">
      <c r="B22" s="325"/>
      <c r="C22" s="59" t="s">
        <v>1570</v>
      </c>
      <c r="D22" s="60"/>
      <c r="E22" s="59" t="s">
        <v>1572</v>
      </c>
      <c r="F22" s="48"/>
    </row>
    <row r="23" spans="2:6" s="45" customFormat="1" ht="15">
      <c r="B23" s="324" t="s">
        <v>1691</v>
      </c>
      <c r="C23" s="57" t="s">
        <v>1573</v>
      </c>
      <c r="D23" s="58"/>
      <c r="E23" s="57" t="s">
        <v>1575</v>
      </c>
      <c r="F23" s="47"/>
    </row>
    <row r="24" spans="2:6" s="45" customFormat="1" ht="15">
      <c r="B24" s="325"/>
      <c r="C24" s="59" t="s">
        <v>1574</v>
      </c>
      <c r="D24" s="60"/>
      <c r="E24" s="59" t="s">
        <v>1576</v>
      </c>
      <c r="F24" s="48"/>
    </row>
    <row r="25" spans="2:6" s="45" customFormat="1" ht="15">
      <c r="B25" s="324" t="s">
        <v>1692</v>
      </c>
      <c r="C25" s="57" t="s">
        <v>1577</v>
      </c>
      <c r="D25" s="58"/>
      <c r="E25" s="57" t="s">
        <v>1579</v>
      </c>
      <c r="F25" s="47"/>
    </row>
    <row r="26" spans="2:6" s="45" customFormat="1" ht="15">
      <c r="B26" s="325"/>
      <c r="C26" s="59" t="s">
        <v>1578</v>
      </c>
      <c r="D26" s="60"/>
      <c r="E26" s="59" t="s">
        <v>1580</v>
      </c>
      <c r="F26" s="48"/>
    </row>
    <row r="27" spans="2:6" s="45" customFormat="1" ht="15">
      <c r="B27" s="324" t="s">
        <v>1693</v>
      </c>
      <c r="C27" s="57" t="s">
        <v>1581</v>
      </c>
      <c r="D27" s="58"/>
      <c r="E27" s="57" t="s">
        <v>1583</v>
      </c>
      <c r="F27" s="47"/>
    </row>
    <row r="28" spans="2:6" s="45" customFormat="1" ht="15">
      <c r="B28" s="325"/>
      <c r="C28" s="59" t="s">
        <v>1582</v>
      </c>
      <c r="D28" s="60"/>
      <c r="E28" s="59" t="s">
        <v>1584</v>
      </c>
      <c r="F28" s="48"/>
    </row>
    <row r="29" spans="2:6" s="45" customFormat="1" ht="15">
      <c r="B29" s="324" t="s">
        <v>1694</v>
      </c>
      <c r="C29" s="57" t="s">
        <v>1585</v>
      </c>
      <c r="D29" s="58"/>
      <c r="E29" s="57" t="s">
        <v>1587</v>
      </c>
      <c r="F29" s="47"/>
    </row>
    <row r="30" spans="2:6" s="45" customFormat="1" ht="15">
      <c r="B30" s="325"/>
      <c r="C30" s="59" t="s">
        <v>1586</v>
      </c>
      <c r="D30" s="60"/>
      <c r="E30" s="59" t="s">
        <v>1588</v>
      </c>
      <c r="F30" s="48"/>
    </row>
    <row r="31" spans="2:6" s="45" customFormat="1" ht="15">
      <c r="B31" s="324" t="s">
        <v>1695</v>
      </c>
      <c r="C31" s="57" t="s">
        <v>1589</v>
      </c>
      <c r="D31" s="58"/>
      <c r="E31" s="57" t="s">
        <v>1591</v>
      </c>
      <c r="F31" s="47"/>
    </row>
    <row r="32" spans="2:6" s="45" customFormat="1" ht="15">
      <c r="B32" s="325"/>
      <c r="C32" s="59" t="s">
        <v>1590</v>
      </c>
      <c r="D32" s="60"/>
      <c r="E32" s="59" t="s">
        <v>1592</v>
      </c>
      <c r="F32" s="48"/>
    </row>
    <row r="33" spans="2:6" s="45" customFormat="1" ht="15">
      <c r="B33" s="324" t="s">
        <v>1696</v>
      </c>
      <c r="C33" s="57" t="s">
        <v>1593</v>
      </c>
      <c r="D33" s="58"/>
      <c r="E33" s="57" t="s">
        <v>1595</v>
      </c>
      <c r="F33" s="47"/>
    </row>
    <row r="34" spans="2:6" s="45" customFormat="1" ht="15">
      <c r="B34" s="325"/>
      <c r="C34" s="59" t="s">
        <v>1594</v>
      </c>
      <c r="D34" s="59"/>
      <c r="E34" s="59" t="s">
        <v>1596</v>
      </c>
      <c r="F34" s="49"/>
    </row>
    <row r="35" spans="2:6" s="45" customFormat="1" ht="15">
      <c r="B35" s="324" t="s">
        <v>1697</v>
      </c>
      <c r="C35" s="57" t="s">
        <v>1597</v>
      </c>
      <c r="D35" s="58"/>
      <c r="E35" s="57" t="s">
        <v>1599</v>
      </c>
      <c r="F35" s="47"/>
    </row>
    <row r="36" spans="2:6" s="45" customFormat="1" ht="15">
      <c r="B36" s="325"/>
      <c r="C36" s="59" t="s">
        <v>1598</v>
      </c>
      <c r="D36" s="59"/>
      <c r="E36" s="59" t="s">
        <v>1600</v>
      </c>
      <c r="F36" s="49"/>
    </row>
    <row r="37" spans="2:6" s="45" customFormat="1" ht="15">
      <c r="B37" s="324" t="s">
        <v>1698</v>
      </c>
      <c r="C37" s="57" t="s">
        <v>1601</v>
      </c>
      <c r="D37" s="58"/>
      <c r="E37" s="57" t="s">
        <v>1603</v>
      </c>
      <c r="F37" s="47"/>
    </row>
    <row r="38" spans="2:6" s="45" customFormat="1" ht="15">
      <c r="B38" s="325"/>
      <c r="C38" s="59" t="s">
        <v>1602</v>
      </c>
      <c r="D38" s="59"/>
      <c r="E38" s="59" t="s">
        <v>1604</v>
      </c>
      <c r="F38" s="49"/>
    </row>
    <row r="39" spans="2:6" s="45" customFormat="1" ht="15">
      <c r="B39" s="324" t="s">
        <v>1699</v>
      </c>
      <c r="C39" s="57" t="s">
        <v>1605</v>
      </c>
      <c r="D39" s="58"/>
      <c r="E39" s="57" t="s">
        <v>1607</v>
      </c>
      <c r="F39" s="47"/>
    </row>
    <row r="40" spans="2:6" s="45" customFormat="1" ht="15">
      <c r="B40" s="325"/>
      <c r="C40" s="59" t="s">
        <v>1606</v>
      </c>
      <c r="D40" s="59"/>
      <c r="E40" s="59" t="s">
        <v>1608</v>
      </c>
      <c r="F40" s="49"/>
    </row>
    <row r="41" spans="2:6" s="45" customFormat="1" ht="15">
      <c r="B41" s="324" t="s">
        <v>1700</v>
      </c>
      <c r="C41" s="57" t="s">
        <v>1609</v>
      </c>
      <c r="D41" s="58"/>
      <c r="E41" s="57" t="s">
        <v>1611</v>
      </c>
      <c r="F41" s="47"/>
    </row>
    <row r="42" spans="2:6" s="45" customFormat="1" ht="15">
      <c r="B42" s="325"/>
      <c r="C42" s="59" t="s">
        <v>1610</v>
      </c>
      <c r="D42" s="59"/>
      <c r="E42" s="59" t="s">
        <v>1612</v>
      </c>
      <c r="F42" s="49"/>
    </row>
    <row r="43" spans="2:6" s="45" customFormat="1" ht="15">
      <c r="B43" s="324" t="s">
        <v>1701</v>
      </c>
      <c r="C43" s="57" t="s">
        <v>1613</v>
      </c>
      <c r="D43" s="58"/>
      <c r="E43" s="57" t="s">
        <v>1615</v>
      </c>
      <c r="F43" s="47"/>
    </row>
    <row r="44" spans="2:6" s="45" customFormat="1" ht="15">
      <c r="B44" s="325"/>
      <c r="C44" s="59" t="s">
        <v>1614</v>
      </c>
      <c r="D44" s="59"/>
      <c r="E44" s="59" t="s">
        <v>1616</v>
      </c>
      <c r="F44" s="49"/>
    </row>
    <row r="45" spans="2:6" s="45" customFormat="1" ht="15">
      <c r="B45" s="324" t="s">
        <v>1702</v>
      </c>
      <c r="C45" s="57" t="s">
        <v>1617</v>
      </c>
      <c r="D45" s="58"/>
      <c r="E45" s="57" t="s">
        <v>1619</v>
      </c>
      <c r="F45" s="47"/>
    </row>
    <row r="46" spans="2:6" s="45" customFormat="1" ht="15">
      <c r="B46" s="325"/>
      <c r="C46" s="59" t="s">
        <v>1621</v>
      </c>
      <c r="D46" s="59"/>
      <c r="E46" s="59" t="s">
        <v>1618</v>
      </c>
      <c r="F46" s="49"/>
    </row>
    <row r="47" spans="2:6" s="45" customFormat="1" ht="15">
      <c r="B47" s="324" t="s">
        <v>1703</v>
      </c>
      <c r="C47" s="57" t="s">
        <v>1620</v>
      </c>
      <c r="D47" s="58"/>
      <c r="E47" s="57" t="s">
        <v>1623</v>
      </c>
      <c r="F47" s="47"/>
    </row>
    <row r="48" spans="2:6" s="45" customFormat="1" ht="15">
      <c r="B48" s="325"/>
      <c r="C48" s="59" t="s">
        <v>1622</v>
      </c>
      <c r="D48" s="59"/>
      <c r="E48" s="59" t="s">
        <v>1624</v>
      </c>
      <c r="F48" s="49"/>
    </row>
    <row r="49" spans="2:6" s="45" customFormat="1" ht="15">
      <c r="B49" s="324" t="s">
        <v>1704</v>
      </c>
      <c r="C49" s="57" t="s">
        <v>1625</v>
      </c>
      <c r="D49" s="58"/>
      <c r="E49" s="57" t="s">
        <v>1627</v>
      </c>
      <c r="F49" s="47"/>
    </row>
    <row r="50" spans="2:6" s="45" customFormat="1" ht="15">
      <c r="B50" s="325"/>
      <c r="C50" s="59" t="s">
        <v>1626</v>
      </c>
      <c r="D50" s="59"/>
      <c r="E50" s="59" t="s">
        <v>1628</v>
      </c>
      <c r="F50" s="49"/>
    </row>
    <row r="51" spans="2:6" s="45" customFormat="1" ht="15">
      <c r="B51" s="324" t="s">
        <v>1705</v>
      </c>
      <c r="C51" s="57" t="s">
        <v>1629</v>
      </c>
      <c r="D51" s="58"/>
      <c r="E51" s="57" t="s">
        <v>1631</v>
      </c>
      <c r="F51" s="47"/>
    </row>
    <row r="52" spans="2:6" s="45" customFormat="1" ht="15">
      <c r="B52" s="325"/>
      <c r="C52" s="59" t="s">
        <v>1630</v>
      </c>
      <c r="D52" s="59"/>
      <c r="E52" s="59" t="s">
        <v>1632</v>
      </c>
      <c r="F52" s="49"/>
    </row>
    <row r="53" spans="2:6" s="45" customFormat="1" ht="15">
      <c r="B53" s="324" t="s">
        <v>1706</v>
      </c>
      <c r="C53" s="57" t="s">
        <v>1633</v>
      </c>
      <c r="D53" s="58"/>
      <c r="E53" s="57" t="s">
        <v>1635</v>
      </c>
      <c r="F53" s="47"/>
    </row>
    <row r="54" spans="2:6" s="45" customFormat="1" ht="15">
      <c r="B54" s="325"/>
      <c r="C54" s="59" t="s">
        <v>1634</v>
      </c>
      <c r="D54" s="59"/>
      <c r="E54" s="59" t="s">
        <v>1636</v>
      </c>
      <c r="F54" s="49"/>
    </row>
    <row r="55" spans="2:6" s="45" customFormat="1" ht="15">
      <c r="B55" s="324" t="s">
        <v>1707</v>
      </c>
      <c r="C55" s="57" t="s">
        <v>1637</v>
      </c>
      <c r="D55" s="58"/>
      <c r="E55" s="57" t="s">
        <v>1639</v>
      </c>
      <c r="F55" s="47"/>
    </row>
    <row r="56" spans="2:6" s="45" customFormat="1" ht="15">
      <c r="B56" s="325"/>
      <c r="C56" s="59" t="s">
        <v>1638</v>
      </c>
      <c r="D56" s="59"/>
      <c r="E56" s="59" t="s">
        <v>1640</v>
      </c>
      <c r="F56" s="49"/>
    </row>
    <row r="57" spans="2:6" s="45" customFormat="1" ht="15">
      <c r="B57" s="324" t="s">
        <v>1708</v>
      </c>
      <c r="C57" s="57" t="s">
        <v>1641</v>
      </c>
      <c r="D57" s="58"/>
      <c r="E57" s="57" t="s">
        <v>1643</v>
      </c>
      <c r="F57" s="47"/>
    </row>
    <row r="58" spans="2:6" s="45" customFormat="1" ht="15">
      <c r="B58" s="325"/>
      <c r="C58" s="59" t="s">
        <v>1642</v>
      </c>
      <c r="D58" s="59"/>
      <c r="E58" s="59" t="s">
        <v>1644</v>
      </c>
      <c r="F58" s="49"/>
    </row>
    <row r="59" spans="2:6" s="45" customFormat="1" ht="15">
      <c r="B59" s="324" t="s">
        <v>1709</v>
      </c>
      <c r="C59" s="57" t="s">
        <v>1645</v>
      </c>
      <c r="D59" s="58"/>
      <c r="E59" s="57" t="s">
        <v>1647</v>
      </c>
      <c r="F59" s="47"/>
    </row>
    <row r="60" spans="2:6" s="45" customFormat="1" ht="15">
      <c r="B60" s="325"/>
      <c r="C60" s="59" t="s">
        <v>1646</v>
      </c>
      <c r="D60" s="59"/>
      <c r="E60" s="59" t="s">
        <v>1648</v>
      </c>
      <c r="F60" s="49"/>
    </row>
    <row r="61" spans="2:6" s="45" customFormat="1" ht="15">
      <c r="B61" s="324" t="s">
        <v>1710</v>
      </c>
      <c r="C61" s="57" t="s">
        <v>1649</v>
      </c>
      <c r="D61" s="58"/>
      <c r="E61" s="57" t="s">
        <v>1651</v>
      </c>
      <c r="F61" s="47"/>
    </row>
    <row r="62" spans="2:6" s="45" customFormat="1" ht="15">
      <c r="B62" s="325"/>
      <c r="C62" s="59" t="s">
        <v>1650</v>
      </c>
      <c r="D62" s="59"/>
      <c r="E62" s="59" t="s">
        <v>1652</v>
      </c>
      <c r="F62" s="49"/>
    </row>
    <row r="63" spans="2:6" s="45" customFormat="1" ht="15">
      <c r="B63" s="324" t="s">
        <v>1711</v>
      </c>
      <c r="C63" s="57" t="s">
        <v>1653</v>
      </c>
      <c r="D63" s="58"/>
      <c r="E63" s="57" t="s">
        <v>1655</v>
      </c>
      <c r="F63" s="47"/>
    </row>
    <row r="64" spans="2:6" s="45" customFormat="1" ht="15">
      <c r="B64" s="325"/>
      <c r="C64" s="59" t="s">
        <v>1654</v>
      </c>
      <c r="D64" s="59"/>
      <c r="E64" s="59" t="s">
        <v>1656</v>
      </c>
      <c r="F64" s="49"/>
    </row>
    <row r="65" spans="2:6" s="45" customFormat="1" ht="15">
      <c r="B65" s="324" t="s">
        <v>1712</v>
      </c>
      <c r="C65" s="57" t="s">
        <v>1657</v>
      </c>
      <c r="D65" s="58"/>
      <c r="E65" s="57" t="s">
        <v>1659</v>
      </c>
      <c r="F65" s="47"/>
    </row>
    <row r="66" spans="2:6" s="45" customFormat="1" ht="15">
      <c r="B66" s="325"/>
      <c r="C66" s="59" t="s">
        <v>1658</v>
      </c>
      <c r="D66" s="59"/>
      <c r="E66" s="59" t="s">
        <v>1660</v>
      </c>
      <c r="F66" s="49"/>
    </row>
    <row r="67" spans="2:6" s="45" customFormat="1" ht="15">
      <c r="B67" s="324" t="s">
        <v>1713</v>
      </c>
      <c r="C67" s="57" t="s">
        <v>1661</v>
      </c>
      <c r="D67" s="58"/>
      <c r="E67" s="57" t="s">
        <v>1680</v>
      </c>
      <c r="F67" s="47"/>
    </row>
    <row r="68" spans="2:6" s="45" customFormat="1" ht="15">
      <c r="B68" s="325"/>
      <c r="C68" s="59" t="s">
        <v>1662</v>
      </c>
      <c r="D68" s="59"/>
      <c r="E68" s="59" t="s">
        <v>1679</v>
      </c>
      <c r="F68" s="49"/>
    </row>
    <row r="69" spans="2:6" s="45" customFormat="1" ht="15">
      <c r="B69" s="324" t="s">
        <v>1714</v>
      </c>
      <c r="C69" s="57" t="s">
        <v>1663</v>
      </c>
      <c r="D69" s="58"/>
      <c r="E69" s="57" t="s">
        <v>1678</v>
      </c>
      <c r="F69" s="47"/>
    </row>
    <row r="70" spans="2:6" s="45" customFormat="1" ht="15">
      <c r="B70" s="325"/>
      <c r="C70" s="59" t="s">
        <v>1664</v>
      </c>
      <c r="D70" s="59"/>
      <c r="E70" s="59" t="s">
        <v>1673</v>
      </c>
      <c r="F70" s="49"/>
    </row>
    <row r="71" spans="2:6" s="45" customFormat="1" ht="15">
      <c r="B71" s="324" t="s">
        <v>1715</v>
      </c>
      <c r="C71" s="57" t="s">
        <v>1665</v>
      </c>
      <c r="D71" s="58"/>
      <c r="E71" s="57" t="s">
        <v>1674</v>
      </c>
      <c r="F71" s="47"/>
    </row>
    <row r="72" spans="2:6" s="45" customFormat="1" ht="15">
      <c r="B72" s="325"/>
      <c r="C72" s="59" t="s">
        <v>1666</v>
      </c>
      <c r="D72" s="59"/>
      <c r="E72" s="59" t="s">
        <v>1675</v>
      </c>
      <c r="F72" s="49"/>
    </row>
    <row r="73" spans="2:6" s="45" customFormat="1" ht="15">
      <c r="B73" s="324" t="s">
        <v>1716</v>
      </c>
      <c r="C73" s="57" t="s">
        <v>1667</v>
      </c>
      <c r="D73" s="58"/>
      <c r="E73" s="57" t="s">
        <v>1676</v>
      </c>
      <c r="F73" s="47"/>
    </row>
    <row r="74" spans="2:6" s="45" customFormat="1" ht="15">
      <c r="B74" s="325"/>
      <c r="C74" s="59" t="s">
        <v>1668</v>
      </c>
      <c r="D74" s="59"/>
      <c r="E74" s="59" t="s">
        <v>1677</v>
      </c>
      <c r="F74" s="49"/>
    </row>
    <row r="75" spans="2:6" s="45" customFormat="1" ht="15">
      <c r="B75" s="324" t="s">
        <v>1717</v>
      </c>
      <c r="C75" s="57" t="s">
        <v>1669</v>
      </c>
      <c r="D75" s="58"/>
      <c r="E75" s="57" t="s">
        <v>1672</v>
      </c>
      <c r="F75" s="47"/>
    </row>
    <row r="76" spans="2:6" s="45" customFormat="1" ht="15">
      <c r="B76" s="325"/>
      <c r="C76" s="59" t="s">
        <v>1670</v>
      </c>
      <c r="D76" s="59"/>
      <c r="E76" s="59" t="s">
        <v>1671</v>
      </c>
      <c r="F76" s="49"/>
    </row>
    <row r="77" spans="2:6" s="45" customFormat="1" ht="15">
      <c r="B77" s="324" t="s">
        <v>1724</v>
      </c>
      <c r="C77" s="57" t="s">
        <v>1720</v>
      </c>
      <c r="D77" s="58"/>
      <c r="E77" s="57" t="s">
        <v>1722</v>
      </c>
      <c r="F77" s="47"/>
    </row>
    <row r="78" spans="2:6" s="45" customFormat="1" ht="15">
      <c r="B78" s="325"/>
      <c r="C78" s="59" t="s">
        <v>1721</v>
      </c>
      <c r="D78" s="59"/>
      <c r="E78" s="59" t="s">
        <v>1723</v>
      </c>
      <c r="F78" s="49"/>
    </row>
    <row r="79" spans="2:6" s="45" customFormat="1" ht="15">
      <c r="B79" s="324" t="s">
        <v>1725</v>
      </c>
      <c r="C79" s="57" t="s">
        <v>1728</v>
      </c>
      <c r="D79" s="58"/>
      <c r="E79" s="57" t="s">
        <v>1736</v>
      </c>
      <c r="F79" s="47"/>
    </row>
    <row r="80" spans="2:6" s="45" customFormat="1" ht="15">
      <c r="B80" s="325"/>
      <c r="C80" s="59" t="s">
        <v>1729</v>
      </c>
      <c r="D80" s="59"/>
      <c r="E80" s="59" t="s">
        <v>1737</v>
      </c>
      <c r="F80" s="49"/>
    </row>
    <row r="81" spans="2:6" s="45" customFormat="1" ht="15">
      <c r="B81" s="324" t="s">
        <v>1726</v>
      </c>
      <c r="C81" s="57" t="s">
        <v>1730</v>
      </c>
      <c r="D81" s="58"/>
      <c r="E81" s="57" t="s">
        <v>1738</v>
      </c>
      <c r="F81" s="47"/>
    </row>
    <row r="82" spans="2:6" s="45" customFormat="1" ht="15">
      <c r="B82" s="325"/>
      <c r="C82" s="59" t="s">
        <v>1731</v>
      </c>
      <c r="D82" s="59"/>
      <c r="E82" s="59" t="s">
        <v>1739</v>
      </c>
      <c r="F82" s="49"/>
    </row>
    <row r="83" spans="2:6" s="45" customFormat="1" ht="15">
      <c r="B83" s="324" t="s">
        <v>1727</v>
      </c>
      <c r="C83" s="57" t="s">
        <v>1732</v>
      </c>
      <c r="D83" s="58"/>
      <c r="E83" s="57" t="s">
        <v>1735</v>
      </c>
      <c r="F83" s="47"/>
    </row>
    <row r="84" spans="2:6" s="45" customFormat="1" ht="15">
      <c r="B84" s="325"/>
      <c r="C84" s="59" t="s">
        <v>1733</v>
      </c>
      <c r="D84" s="59"/>
      <c r="E84" s="59" t="s">
        <v>1734</v>
      </c>
      <c r="F84" s="49"/>
    </row>
  </sheetData>
  <sheetProtection/>
  <mergeCells count="39">
    <mergeCell ref="B83:B84"/>
    <mergeCell ref="B65:B66"/>
    <mergeCell ref="B67:B68"/>
    <mergeCell ref="B69:B70"/>
    <mergeCell ref="B71:B72"/>
    <mergeCell ref="B81:B82"/>
    <mergeCell ref="B79:B80"/>
    <mergeCell ref="B59:B60"/>
    <mergeCell ref="B61:B62"/>
    <mergeCell ref="B63:B64"/>
    <mergeCell ref="B77:B78"/>
    <mergeCell ref="B73:B74"/>
    <mergeCell ref="B75:B76"/>
    <mergeCell ref="B29:B30"/>
    <mergeCell ref="B31:B32"/>
    <mergeCell ref="B33:B34"/>
    <mergeCell ref="B57:B58"/>
    <mergeCell ref="B41:B42"/>
    <mergeCell ref="B43:B44"/>
    <mergeCell ref="B45:B46"/>
    <mergeCell ref="B47:B48"/>
    <mergeCell ref="B53:B54"/>
    <mergeCell ref="B55:B56"/>
    <mergeCell ref="B51:B52"/>
    <mergeCell ref="B19:B20"/>
    <mergeCell ref="B21:B22"/>
    <mergeCell ref="B39:B40"/>
    <mergeCell ref="B49:B50"/>
    <mergeCell ref="B23:B24"/>
    <mergeCell ref="B37:B38"/>
    <mergeCell ref="B35:B36"/>
    <mergeCell ref="D6:F6"/>
    <mergeCell ref="B17:B18"/>
    <mergeCell ref="B27:B28"/>
    <mergeCell ref="B25:B26"/>
    <mergeCell ref="D2:F2"/>
    <mergeCell ref="D3:F3"/>
    <mergeCell ref="D4:F4"/>
    <mergeCell ref="D5:F5"/>
  </mergeCells>
  <printOptions/>
  <pageMargins left="0.31496062992125984" right="0.31496062992125984" top="0.15748031496062992" bottom="0.15748031496062992" header="0" footer="0"/>
  <pageSetup horizontalDpi="200" verticalDpi="2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2"/>
  <sheetViews>
    <sheetView zoomScalePageLayoutView="0" workbookViewId="0" topLeftCell="A1">
      <selection activeCell="I12" sqref="I12"/>
    </sheetView>
  </sheetViews>
  <sheetFormatPr defaultColWidth="7.7109375" defaultRowHeight="12.75"/>
  <cols>
    <col min="1" max="1" width="19.28125" style="87" customWidth="1"/>
    <col min="2" max="2" width="16.8515625" style="89" customWidth="1"/>
    <col min="3" max="3" width="11.7109375" style="90" customWidth="1"/>
    <col min="4" max="4" width="10.57421875" style="90" customWidth="1"/>
    <col min="5" max="5" width="11.140625" style="90" customWidth="1"/>
    <col min="6" max="6" width="9.28125" style="90" customWidth="1"/>
    <col min="7" max="7" width="13.28125" style="87" customWidth="1"/>
    <col min="8" max="8" width="1.57421875" style="87" customWidth="1"/>
    <col min="9" max="9" width="13.7109375" style="89" customWidth="1"/>
    <col min="10" max="10" width="7.7109375" style="87" customWidth="1"/>
    <col min="11" max="11" width="7.7109375" style="90" customWidth="1"/>
    <col min="12" max="16384" width="7.7109375" style="87" customWidth="1"/>
  </cols>
  <sheetData>
    <row r="1" ht="18.75" thickBot="1">
      <c r="A1" s="160">
        <f ca="1">TODAY()</f>
        <v>42904</v>
      </c>
    </row>
    <row r="2" spans="1:9" ht="17.25" customHeight="1" thickBot="1">
      <c r="A2" s="332" t="s">
        <v>1885</v>
      </c>
      <c r="B2" s="333"/>
      <c r="C2" s="333"/>
      <c r="D2" s="333"/>
      <c r="E2" s="333"/>
      <c r="F2" s="333"/>
      <c r="G2" s="334"/>
      <c r="I2" s="343" t="s">
        <v>1879</v>
      </c>
    </row>
    <row r="3" spans="1:9" ht="18.75" thickBot="1">
      <c r="A3" s="94"/>
      <c r="B3" s="335" t="s">
        <v>1884</v>
      </c>
      <c r="C3" s="336"/>
      <c r="D3" s="335" t="s">
        <v>1851</v>
      </c>
      <c r="E3" s="336"/>
      <c r="F3" s="335" t="s">
        <v>1515</v>
      </c>
      <c r="G3" s="336"/>
      <c r="I3" s="344"/>
    </row>
    <row r="4" spans="1:9" ht="4.5" customHeight="1" thickBot="1">
      <c r="A4" s="114"/>
      <c r="B4" s="115"/>
      <c r="C4" s="115"/>
      <c r="D4" s="115"/>
      <c r="E4" s="115"/>
      <c r="F4" s="115"/>
      <c r="G4" s="115"/>
      <c r="H4" s="91"/>
      <c r="I4" s="116"/>
    </row>
    <row r="5" spans="1:9" ht="18">
      <c r="A5" s="99" t="s">
        <v>1887</v>
      </c>
      <c r="B5" s="100" t="e">
        <f>_xlfn.COUNTIFS('master 2015'!L2:L352,"&lt;55",'master 2015'!A2:A352,"=Mr")</f>
        <v>#NAME?</v>
      </c>
      <c r="C5" s="101" t="e">
        <f aca="true" t="shared" si="0" ref="C5:C13">B5/tothom</f>
        <v>#NAME?</v>
      </c>
      <c r="D5" s="100" t="e">
        <f>_xlfn.COUNTIFS('master 2015'!L2:L352,"&lt;55",'master 2015'!A2:A352,"=Mme")</f>
        <v>#NAME?</v>
      </c>
      <c r="E5" s="101" t="e">
        <f aca="true" t="shared" si="1" ref="E5:E13">D5/totd</f>
        <v>#NAME?</v>
      </c>
      <c r="F5" s="100" t="e">
        <f aca="true" t="shared" si="2" ref="F5:F14">SUM(B5,D5)</f>
        <v>#NAME?</v>
      </c>
      <c r="G5" s="102" t="e">
        <f aca="true" t="shared" si="3" ref="G5:G13">F5/totgen</f>
        <v>#NAME?</v>
      </c>
      <c r="I5" s="117" t="e">
        <f>SUMIF('master 2015'!L2:L352,"&lt;55",'master 2015'!F2:F352)/SUM(B5,D5)</f>
        <v>#NAME?</v>
      </c>
    </row>
    <row r="6" spans="1:9" ht="18">
      <c r="A6" s="124" t="s">
        <v>1902</v>
      </c>
      <c r="B6" s="95" t="e">
        <f>_xlfn.COUNTIFS('master 2015'!L2:L352,"&gt;54",'master 2015'!L2:L352,"&lt;60",'master 2015'!A2:A352,"=Mr")</f>
        <v>#NAME?</v>
      </c>
      <c r="C6" s="96" t="e">
        <f t="shared" si="0"/>
        <v>#NAME?</v>
      </c>
      <c r="D6" s="95" t="e">
        <f>_xlfn.COUNTIFS('master 2015'!L2:L352,"&gt;54",'master 2015'!L2:L352,"&lt;60",'master 2015'!A2:A352,"=Mme")</f>
        <v>#NAME?</v>
      </c>
      <c r="E6" s="96" t="e">
        <f t="shared" si="1"/>
        <v>#NAME?</v>
      </c>
      <c r="F6" s="95" t="e">
        <f t="shared" si="2"/>
        <v>#NAME?</v>
      </c>
      <c r="G6" s="104" t="e">
        <f t="shared" si="3"/>
        <v>#NAME?</v>
      </c>
      <c r="I6" s="112" t="e">
        <f>_xlfn.SUMIFS('master 2015'!F2:F352,'master 2015'!L2:L352,"&gt;54",'master 2015'!L2:L352,"&lt;60")/SUM(B6,D6)</f>
        <v>#NAME?</v>
      </c>
    </row>
    <row r="7" spans="1:9" ht="18">
      <c r="A7" s="124" t="s">
        <v>1888</v>
      </c>
      <c r="B7" s="95" t="e">
        <f>_xlfn.COUNTIFS('master 2015'!L2:L352,"&gt;59",'master 2015'!L2:L352,"&lt;65",'master 2015'!A2:A352,"=Mr")</f>
        <v>#NAME?</v>
      </c>
      <c r="C7" s="96" t="e">
        <f t="shared" si="0"/>
        <v>#NAME?</v>
      </c>
      <c r="D7" s="95" t="e">
        <f>_xlfn.COUNTIFS('master 2015'!L2:L352,"&gt;59",'master 2015'!L2:L352,"&lt;65",'master 2015'!A2:A352,"=Mme")</f>
        <v>#NAME?</v>
      </c>
      <c r="E7" s="96" t="e">
        <f t="shared" si="1"/>
        <v>#NAME?</v>
      </c>
      <c r="F7" s="95" t="e">
        <f t="shared" si="2"/>
        <v>#NAME?</v>
      </c>
      <c r="G7" s="104" t="e">
        <f t="shared" si="3"/>
        <v>#NAME?</v>
      </c>
      <c r="I7" s="112" t="e">
        <f>_xlfn.SUMIFS('master 2015'!F2:F352,'master 2015'!L2:L352,"&gt;59",'master 2015'!L2:L352,"&lt;65")/SUM(B7,D7)</f>
        <v>#NAME?</v>
      </c>
    </row>
    <row r="8" spans="1:11" ht="18">
      <c r="A8" s="124" t="s">
        <v>1889</v>
      </c>
      <c r="B8" s="95" t="e">
        <f>_xlfn.COUNTIFS('master 2015'!L2:L352,"&gt;64",'master 2015'!L2:L352,"&lt;70",'master 2015'!A2:A352,"=Mr")</f>
        <v>#NAME?</v>
      </c>
      <c r="C8" s="96" t="e">
        <f t="shared" si="0"/>
        <v>#NAME?</v>
      </c>
      <c r="D8" s="95" t="e">
        <f>_xlfn.COUNTIFS('master 2015'!L2:L352,"&gt;64",'master 2015'!L2:L352,"&lt;70",'master 2015'!A2:A352,"=Mme")</f>
        <v>#NAME?</v>
      </c>
      <c r="E8" s="96" t="e">
        <f t="shared" si="1"/>
        <v>#NAME?</v>
      </c>
      <c r="F8" s="95" t="e">
        <f t="shared" si="2"/>
        <v>#NAME?</v>
      </c>
      <c r="G8" s="104" t="e">
        <f t="shared" si="3"/>
        <v>#NAME?</v>
      </c>
      <c r="I8" s="112" t="e">
        <f>_xlfn.SUMIFS('master 2015'!F2:F352,'master 2015'!L2:L352,"&gt;64",'master 2015'!L2:L352,"&lt;70")/SUM(B8,D8)</f>
        <v>#NAME?</v>
      </c>
      <c r="K8" s="119"/>
    </row>
    <row r="9" spans="1:9" ht="18">
      <c r="A9" s="124" t="s">
        <v>1538</v>
      </c>
      <c r="B9" s="95" t="e">
        <f>_xlfn.COUNTIFS('master 2015'!L2:L352,"&gt;69",'master 2015'!L2:L352,"&lt;75",'master 2015'!A2:A352,"=Mr")</f>
        <v>#NAME?</v>
      </c>
      <c r="C9" s="96" t="e">
        <f t="shared" si="0"/>
        <v>#NAME?</v>
      </c>
      <c r="D9" s="95" t="e">
        <f>_xlfn.COUNTIFS('master 2015'!L2:L352,"&gt;69",'master 2015'!L2:L352,"&lt;75",'master 2015'!A2:A352,"=Mme")</f>
        <v>#NAME?</v>
      </c>
      <c r="E9" s="96" t="e">
        <f t="shared" si="1"/>
        <v>#NAME?</v>
      </c>
      <c r="F9" s="95" t="e">
        <f t="shared" si="2"/>
        <v>#NAME?</v>
      </c>
      <c r="G9" s="104" t="e">
        <f t="shared" si="3"/>
        <v>#NAME?</v>
      </c>
      <c r="I9" s="112" t="e">
        <f>_xlfn.SUMIFS('master 2015'!F2:F352,'master 2015'!L2:L352,"&gt;69",'master 2015'!L2:L352,"&lt;75")/SUM(B9,D9)</f>
        <v>#NAME?</v>
      </c>
    </row>
    <row r="10" spans="1:9" ht="18">
      <c r="A10" s="124" t="s">
        <v>1537</v>
      </c>
      <c r="B10" s="95" t="e">
        <f>_xlfn.COUNTIFS('master 2015'!L2:L352,"&gt;74",'master 2015'!L2:L352,"&lt;80",'master 2015'!A2:A352,"=Mr")</f>
        <v>#NAME?</v>
      </c>
      <c r="C10" s="96" t="e">
        <f t="shared" si="0"/>
        <v>#NAME?</v>
      </c>
      <c r="D10" s="95" t="e">
        <f>_xlfn.COUNTIFS('master 2015'!L2:L352,"&gt;74",'master 2015'!L2:L352,"&lt;80",'master 2015'!A2:A352,"=Mme")</f>
        <v>#NAME?</v>
      </c>
      <c r="E10" s="96" t="e">
        <f t="shared" si="1"/>
        <v>#NAME?</v>
      </c>
      <c r="F10" s="95" t="e">
        <f t="shared" si="2"/>
        <v>#NAME?</v>
      </c>
      <c r="G10" s="104" t="e">
        <f t="shared" si="3"/>
        <v>#NAME?</v>
      </c>
      <c r="I10" s="112" t="e">
        <f>_xlfn.SUMIFS('master 2015'!F2:F352,'master 2015'!L2:L352,"&gt;74",'master 2015'!L2:L352,"&lt;80")/SUM(B10,D10)</f>
        <v>#NAME?</v>
      </c>
    </row>
    <row r="11" spans="1:11" ht="18">
      <c r="A11" s="124" t="s">
        <v>1890</v>
      </c>
      <c r="B11" s="95" t="e">
        <f>_xlfn.COUNTIFS('master 2015'!L2:L352,"&gt;79",'master 2015'!L2:L352,"&lt;85",'master 2015'!A2:A352,"=Mr")</f>
        <v>#NAME?</v>
      </c>
      <c r="C11" s="96" t="e">
        <f t="shared" si="0"/>
        <v>#NAME?</v>
      </c>
      <c r="D11" s="95" t="e">
        <f>_xlfn.COUNTIFS('master 2015'!L2:L352,"&gt;79",'master 2015'!L2:L352,"&lt;85",'master 2015'!A2:A352,"=Mme")</f>
        <v>#NAME?</v>
      </c>
      <c r="E11" s="96" t="e">
        <f t="shared" si="1"/>
        <v>#NAME?</v>
      </c>
      <c r="F11" s="95" t="e">
        <f t="shared" si="2"/>
        <v>#NAME?</v>
      </c>
      <c r="G11" s="104" t="e">
        <f t="shared" si="3"/>
        <v>#NAME?</v>
      </c>
      <c r="I11" s="112" t="e">
        <f>_xlfn.SUMIFS('master 2015'!F2:F352,'master 2015'!L2:L352,"&gt;79",'master 2015'!L2:L352,"&lt;85")/SUM(B11,D11)</f>
        <v>#NAME?</v>
      </c>
      <c r="K11" s="119"/>
    </row>
    <row r="12" spans="1:9" ht="18">
      <c r="A12" s="124" t="s">
        <v>1891</v>
      </c>
      <c r="B12" s="95" t="e">
        <f>_xlfn.COUNTIFS('master 2015'!L2:L352,"&gt;84",'master 2015'!L2:L352,"&lt;90",'master 2015'!A2:A352,"=Mr")</f>
        <v>#NAME?</v>
      </c>
      <c r="C12" s="96" t="e">
        <f t="shared" si="0"/>
        <v>#NAME?</v>
      </c>
      <c r="D12" s="95" t="e">
        <f>_xlfn.COUNTIFS('master 2015'!L2:L352,"&gt;84",'master 2015'!L2:L352,"&lt;90",'master 2015'!A2:A352,"=Mme")</f>
        <v>#NAME?</v>
      </c>
      <c r="E12" s="96" t="e">
        <f t="shared" si="1"/>
        <v>#NAME?</v>
      </c>
      <c r="F12" s="95" t="e">
        <f t="shared" si="2"/>
        <v>#NAME?</v>
      </c>
      <c r="G12" s="104" t="e">
        <f t="shared" si="3"/>
        <v>#NAME?</v>
      </c>
      <c r="I12" s="112" t="e">
        <f>_xlfn.SUMIFS('master 2015'!F2:F352,'master 2015'!L2:L352,"&gt;84",'master 2015'!L2:L352,"&lt;90")/SUM(B12,D12)</f>
        <v>#NAME?</v>
      </c>
    </row>
    <row r="13" spans="1:9" ht="18">
      <c r="A13" s="124" t="s">
        <v>1886</v>
      </c>
      <c r="B13" s="95" t="e">
        <f>_xlfn.COUNTIFS('master 2015'!L2:L352,"&gt;89",'master 2015'!A2:A352,"=Mr")</f>
        <v>#NAME?</v>
      </c>
      <c r="C13" s="96" t="e">
        <f t="shared" si="0"/>
        <v>#NAME?</v>
      </c>
      <c r="D13" s="95" t="e">
        <f>_xlfn.COUNTIFS('master 2015'!L2:L352,"&gt;89",'master 2015'!A2:A352,"=Mme")</f>
        <v>#NAME?</v>
      </c>
      <c r="E13" s="96" t="e">
        <f t="shared" si="1"/>
        <v>#NAME?</v>
      </c>
      <c r="F13" s="95" t="e">
        <f t="shared" si="2"/>
        <v>#NAME?</v>
      </c>
      <c r="G13" s="104" t="e">
        <f t="shared" si="3"/>
        <v>#NAME?</v>
      </c>
      <c r="I13" s="112" t="e">
        <f>SUMIF('master 2015'!L2:L352,"&gt;89",'master 2015'!F2:F352)/SUM(B13,D13)</f>
        <v>#NAME?</v>
      </c>
    </row>
    <row r="14" spans="1:11" s="138" customFormat="1" ht="18.75" thickBot="1">
      <c r="A14" s="154" t="s">
        <v>1515</v>
      </c>
      <c r="B14" s="152">
        <f>COUNTIF('master 2015'!A2:A352,"=Mr")</f>
        <v>174</v>
      </c>
      <c r="C14" s="153"/>
      <c r="D14" s="152">
        <f>COUNTIF('master 2015'!A2:A352,"=Mme")</f>
        <v>177</v>
      </c>
      <c r="E14" s="153"/>
      <c r="F14" s="152">
        <f t="shared" si="2"/>
        <v>351</v>
      </c>
      <c r="G14" s="155"/>
      <c r="I14" s="144">
        <f>SUM('master 2015'!F2:F352)/totgen</f>
        <v>23.293447280405594</v>
      </c>
      <c r="K14" s="139"/>
    </row>
    <row r="15" spans="1:8" ht="18.75" thickBot="1">
      <c r="A15" s="140" t="s">
        <v>1854</v>
      </c>
      <c r="B15" s="156">
        <f>SUMIF('master 2015'!A2:A352,"=Mr",'master 2015'!L2:L352)/tothom</f>
        <v>71.75287356321839</v>
      </c>
      <c r="C15" s="142"/>
      <c r="D15" s="156">
        <f>SUMIF('master 2015'!A2:A352,"=Mme",'master 2015'!L2:L352)/totd</f>
        <v>69.57062146892656</v>
      </c>
      <c r="E15" s="157"/>
      <c r="F15" s="141">
        <f>SUM('master 2015'!L2:L352)/totgen</f>
        <v>70.65242165242165</v>
      </c>
      <c r="G15" s="143"/>
      <c r="H15" s="91"/>
    </row>
    <row r="16" spans="1:8" ht="3" customHeight="1" thickBot="1">
      <c r="A16" s="92"/>
      <c r="B16" s="137"/>
      <c r="C16" s="121"/>
      <c r="D16" s="137"/>
      <c r="E16" s="122"/>
      <c r="F16" s="120"/>
      <c r="G16" s="122"/>
      <c r="H16" s="91"/>
    </row>
    <row r="17" spans="1:9" ht="18.75" thickBot="1">
      <c r="A17" s="99" t="s">
        <v>1900</v>
      </c>
      <c r="B17" s="100" t="e">
        <f>_xlfn.COUNTIFS('master 2015'!L2:L352,"&gt;68",'master 2015'!A2:A352,"=Mr")</f>
        <v>#NAME?</v>
      </c>
      <c r="C17" s="101" t="e">
        <f>B17/tothom</f>
        <v>#NAME?</v>
      </c>
      <c r="D17" s="100" t="e">
        <f>_xlfn.COUNTIFS('master 2015'!L2:L352,"&gt;68",'master 2015'!A2:A352,"=Mme")</f>
        <v>#NAME?</v>
      </c>
      <c r="E17" s="101" t="e">
        <f>D17/totd</f>
        <v>#NAME?</v>
      </c>
      <c r="F17" s="100" t="e">
        <f>SUM(B17,D17)</f>
        <v>#NAME?</v>
      </c>
      <c r="G17" s="102" t="e">
        <f>F17/totgen</f>
        <v>#NAME?</v>
      </c>
      <c r="I17" s="113" t="e">
        <f>SUMIF('master 2015'!L2:L352,"&gt;69",'master 2015'!F2:F352)/F17</f>
        <v>#NAME?</v>
      </c>
    </row>
    <row r="18" spans="1:9" ht="18.75" thickBot="1">
      <c r="A18" s="99" t="s">
        <v>1852</v>
      </c>
      <c r="B18" s="100" t="e">
        <f>_xlfn.COUNTIFS('master 2015'!L2:L352,"&gt;69",'master 2015'!A2:A352,"=Mr")</f>
        <v>#NAME?</v>
      </c>
      <c r="C18" s="101" t="e">
        <f>B18/tothom</f>
        <v>#NAME?</v>
      </c>
      <c r="D18" s="100" t="e">
        <f>_xlfn.COUNTIFS('master 2015'!L2:L352,"&gt;69",'master 2015'!A2:A352,"=Mme")</f>
        <v>#NAME?</v>
      </c>
      <c r="E18" s="123" t="e">
        <f>D18/totd</f>
        <v>#NAME?</v>
      </c>
      <c r="F18" s="100" t="e">
        <f>SUM(B18,D18)</f>
        <v>#NAME?</v>
      </c>
      <c r="G18" s="102" t="e">
        <f>F18/totgen</f>
        <v>#NAME?</v>
      </c>
      <c r="I18" s="113" t="e">
        <f>SUMIF('master 2015'!L2:L352,"&gt;70",'master 2015'!F3:F353)/F18</f>
        <v>#NAME?</v>
      </c>
    </row>
    <row r="19" spans="1:9" ht="18.75" thickBot="1">
      <c r="A19" s="124" t="s">
        <v>1898</v>
      </c>
      <c r="B19" s="100" t="e">
        <f>_xlfn.COUNTIFS('master 2015'!L2:L352,"&gt;74",'master 2015'!A2:A352,"=Mr")</f>
        <v>#NAME?</v>
      </c>
      <c r="C19" s="96" t="e">
        <f>B19/tothom</f>
        <v>#NAME?</v>
      </c>
      <c r="D19" s="100" t="e">
        <f>_xlfn.COUNTIFS('master 2015'!L2:L352,"&gt;74",'master 2015'!A2:A352,"=Mme")</f>
        <v>#NAME?</v>
      </c>
      <c r="E19" s="97" t="e">
        <f>D19/totd</f>
        <v>#NAME?</v>
      </c>
      <c r="F19" s="95" t="e">
        <f>SUM(B19,D19)</f>
        <v>#NAME?</v>
      </c>
      <c r="G19" s="104" t="e">
        <f>F19/totgen</f>
        <v>#NAME?</v>
      </c>
      <c r="I19" s="113" t="e">
        <f>SUMIF('master 2015'!L4:L353,"&gt;69",'master 2015'!F4:F353)/F19</f>
        <v>#NAME?</v>
      </c>
    </row>
    <row r="20" spans="1:9" ht="18.75" thickBot="1">
      <c r="A20" s="125" t="s">
        <v>1899</v>
      </c>
      <c r="B20" s="109" t="e">
        <f>_xlfn.COUNTIFS('master 2015'!L2:L352,"&gt;73",'master 2015'!A2:A352,"=Mr")</f>
        <v>#NAME?</v>
      </c>
      <c r="C20" s="108" t="e">
        <f>B20/tothom</f>
        <v>#NAME?</v>
      </c>
      <c r="D20" s="109" t="e">
        <f>_xlfn.COUNTIFS('master 2015'!L2:L352,"&gt;73",'master 2015'!A2:A352,"=Mme")</f>
        <v>#NAME?</v>
      </c>
      <c r="E20" s="126" t="e">
        <f>D20/totd</f>
        <v>#NAME?</v>
      </c>
      <c r="F20" s="109" t="e">
        <f>SUM(B20,D20)</f>
        <v>#NAME?</v>
      </c>
      <c r="G20" s="110" t="e">
        <f>F20/totgen</f>
        <v>#NAME?</v>
      </c>
      <c r="I20" s="113" t="e">
        <f>SUMIF('master 2015'!L5:L353,"&gt;69",'master 2015'!F5:F353)/F20</f>
        <v>#NAME?</v>
      </c>
    </row>
    <row r="21" ht="6" customHeight="1" thickBot="1"/>
    <row r="22" spans="1:9" ht="18.75" customHeight="1" thickBot="1">
      <c r="A22" s="332" t="s">
        <v>1901</v>
      </c>
      <c r="B22" s="333"/>
      <c r="C22" s="333"/>
      <c r="D22" s="333"/>
      <c r="E22" s="333"/>
      <c r="F22" s="333"/>
      <c r="G22" s="334"/>
      <c r="I22" s="343" t="s">
        <v>1879</v>
      </c>
    </row>
    <row r="23" spans="1:9" ht="18.75" thickBot="1">
      <c r="A23" s="94"/>
      <c r="B23" s="335" t="s">
        <v>1884</v>
      </c>
      <c r="C23" s="336"/>
      <c r="D23" s="335" t="s">
        <v>1851</v>
      </c>
      <c r="E23" s="336"/>
      <c r="F23" s="335" t="s">
        <v>1515</v>
      </c>
      <c r="G23" s="336"/>
      <c r="I23" s="344"/>
    </row>
    <row r="24" spans="1:9" ht="3" customHeight="1" thickBot="1">
      <c r="A24" s="114"/>
      <c r="B24" s="115"/>
      <c r="C24" s="115"/>
      <c r="D24" s="115"/>
      <c r="E24" s="115"/>
      <c r="F24" s="115"/>
      <c r="G24" s="115"/>
      <c r="H24" s="91"/>
      <c r="I24" s="116"/>
    </row>
    <row r="25" spans="1:9" ht="18.75" thickBot="1">
      <c r="A25" s="99" t="s">
        <v>1887</v>
      </c>
      <c r="B25" s="100" t="e">
        <f>_xlfn.COUNTIFS('master 2015'!L2:L352,"&lt;55",'master 2015'!A2:A352,"=Mr",'master 2015'!G2:G352,"=A")</f>
        <v>#NAME?</v>
      </c>
      <c r="C25" s="101" t="e">
        <f aca="true" t="shared" si="4" ref="C25:C34">B25/tothom</f>
        <v>#NAME?</v>
      </c>
      <c r="D25" s="100" t="e">
        <f>_xlfn.COUNTIFS('master 2015'!L2:L352,"&lt;55",'master 2015'!A2:A352,"=Mme",'master 2015'!G2:G352,"=A")</f>
        <v>#NAME?</v>
      </c>
      <c r="E25" s="101" t="e">
        <f aca="true" t="shared" si="5" ref="E25:E34">D25/totd</f>
        <v>#NAME?</v>
      </c>
      <c r="F25" s="100" t="e">
        <f aca="true" t="shared" si="6" ref="F25:F33">SUM(B25,D25)</f>
        <v>#NAME?</v>
      </c>
      <c r="G25" s="102" t="e">
        <f aca="true" t="shared" si="7" ref="G25:G33">F25/totact</f>
        <v>#NAME?</v>
      </c>
      <c r="I25" s="117" t="e">
        <f>_xlfn.SUMIFS('master 2015'!F2:F352,'master 2015'!G2:G352,"=A",'master 2015'!L2:L352,"&lt;55")/F25</f>
        <v>#NAME?</v>
      </c>
    </row>
    <row r="26" spans="1:9" ht="18.75" thickBot="1">
      <c r="A26" s="99" t="s">
        <v>1902</v>
      </c>
      <c r="B26" s="100" t="e">
        <f>_xlfn.COUNTIFS('master 2015'!L2:L352,"&gt;54",'master 2015'!L2:L352,"&lt;60",'master 2015'!A2:A352,"=Mr",'master 2015'!G2:G352,"=A")</f>
        <v>#NAME?</v>
      </c>
      <c r="C26" s="101" t="e">
        <f t="shared" si="4"/>
        <v>#NAME?</v>
      </c>
      <c r="D26" s="100" t="e">
        <f>_xlfn.COUNTIFS('master 2015'!L2:L352,"&gt;54",'master 2015'!L2:L352,"&lt;60",'master 2015'!A2:A352,"=Mme",'master 2015'!G2:G352,"=A")</f>
        <v>#NAME?</v>
      </c>
      <c r="E26" s="101" t="e">
        <f t="shared" si="5"/>
        <v>#NAME?</v>
      </c>
      <c r="F26" s="100" t="e">
        <f t="shared" si="6"/>
        <v>#NAME?</v>
      </c>
      <c r="G26" s="102" t="e">
        <f t="shared" si="7"/>
        <v>#NAME?</v>
      </c>
      <c r="I26" s="112" t="e">
        <f>_xlfn.SUMIFS('master 2015'!F2:F352,'master 2015'!G2:G352,"=A",'master 2015'!L2:L352,"&gt;54",'master 2015'!L2:L352,"&lt;60")/F26</f>
        <v>#NAME?</v>
      </c>
    </row>
    <row r="27" spans="1:9" ht="18.75" thickBot="1">
      <c r="A27" s="99" t="s">
        <v>1888</v>
      </c>
      <c r="B27" s="100" t="e">
        <f>_xlfn.COUNTIFS('master 2015'!L2:L352,"&gt;59",'master 2015'!L2:L352,"&lt;65",'master 2015'!A2:A352,"=Mr",'master 2015'!G2:G352,"=A")</f>
        <v>#NAME?</v>
      </c>
      <c r="C27" s="101" t="e">
        <f t="shared" si="4"/>
        <v>#NAME?</v>
      </c>
      <c r="D27" s="100" t="e">
        <f>_xlfn.COUNTIFS('master 2015'!L2:L352,"&gt;59",'master 2015'!L2:L352,"&lt;65",'master 2015'!A2:A352,"=Mme",'master 2015'!G2:G352,"=A")</f>
        <v>#NAME?</v>
      </c>
      <c r="E27" s="101" t="e">
        <f t="shared" si="5"/>
        <v>#NAME?</v>
      </c>
      <c r="F27" s="100" t="e">
        <f t="shared" si="6"/>
        <v>#NAME?</v>
      </c>
      <c r="G27" s="102" t="e">
        <f t="shared" si="7"/>
        <v>#NAME?</v>
      </c>
      <c r="I27" s="112" t="e">
        <f>_xlfn.SUMIFS('master 2015'!F2:F352,'master 2015'!G2:G352,"=A",'master 2015'!L2:L352,"&gt;59",'master 2015'!L2:L352,"&lt;65")/F27</f>
        <v>#NAME?</v>
      </c>
    </row>
    <row r="28" spans="1:9" ht="18.75" thickBot="1">
      <c r="A28" s="99" t="s">
        <v>1889</v>
      </c>
      <c r="B28" s="100" t="e">
        <f>_xlfn.COUNTIFS('master 2015'!L2:L352,"&gt;64",'master 2015'!L2:L352,"&lt;70",'master 2015'!A2:A352,"=Mr",'master 2015'!G2:G352,"=A")</f>
        <v>#NAME?</v>
      </c>
      <c r="C28" s="101" t="e">
        <f t="shared" si="4"/>
        <v>#NAME?</v>
      </c>
      <c r="D28" s="100" t="e">
        <f>_xlfn.COUNTIFS('master 2015'!L2:L352,"&gt;64",'master 2015'!L2:L352,"&lt;70",'master 2015'!A2:A352,"=Mme",'master 2015'!G2:G352,"=A")</f>
        <v>#NAME?</v>
      </c>
      <c r="E28" s="101" t="e">
        <f t="shared" si="5"/>
        <v>#NAME?</v>
      </c>
      <c r="F28" s="100" t="e">
        <f t="shared" si="6"/>
        <v>#NAME?</v>
      </c>
      <c r="G28" s="102" t="e">
        <f t="shared" si="7"/>
        <v>#NAME?</v>
      </c>
      <c r="I28" s="112" t="e">
        <f>_xlfn.SUMIFS('master 2015'!F2:F352,'master 2015'!G2:G352,"=A",'master 2015'!L2:L352,"&gt;64",'master 2015'!L2:L352,"&lt;70")/F28</f>
        <v>#NAME?</v>
      </c>
    </row>
    <row r="29" spans="1:9" ht="18.75" thickBot="1">
      <c r="A29" s="99" t="s">
        <v>1538</v>
      </c>
      <c r="B29" s="100" t="e">
        <f>_xlfn.COUNTIFS('master 2015'!L2:L352,"&gt;69",'master 2015'!L2:L352,"&lt;75",'master 2015'!A2:A352,"=Mr",'master 2015'!G2:G352,"=A")</f>
        <v>#NAME?</v>
      </c>
      <c r="C29" s="101" t="e">
        <f t="shared" si="4"/>
        <v>#NAME?</v>
      </c>
      <c r="D29" s="100" t="e">
        <f>_xlfn.COUNTIFS('master 2015'!L2:L352,"&gt;69",'master 2015'!L2:L352,"&lt;75",'master 2015'!A2:A352,"=Mme",'master 2015'!G2:G352,"=A")</f>
        <v>#NAME?</v>
      </c>
      <c r="E29" s="101" t="e">
        <f t="shared" si="5"/>
        <v>#NAME?</v>
      </c>
      <c r="F29" s="100" t="e">
        <f t="shared" si="6"/>
        <v>#NAME?</v>
      </c>
      <c r="G29" s="102" t="e">
        <f t="shared" si="7"/>
        <v>#NAME?</v>
      </c>
      <c r="I29" s="112" t="e">
        <f>_xlfn.SUMIFS('master 2015'!F2:F352,'master 2015'!G2:G352,"=A",'master 2015'!L2:L352,"&gt;69",'master 2015'!L2:L352,"&lt;75")/F29</f>
        <v>#NAME?</v>
      </c>
    </row>
    <row r="30" spans="1:9" ht="18.75" thickBot="1">
      <c r="A30" s="99" t="s">
        <v>1537</v>
      </c>
      <c r="B30" s="100" t="e">
        <f>_xlfn.COUNTIFS('master 2015'!L2:L352,"&gt;74",'master 2015'!L2:L352,"&lt;80",'master 2015'!A2:A352,"=Mr",'master 2015'!G2:G352,"=A")</f>
        <v>#NAME?</v>
      </c>
      <c r="C30" s="101" t="e">
        <f t="shared" si="4"/>
        <v>#NAME?</v>
      </c>
      <c r="D30" s="100" t="e">
        <f>_xlfn.COUNTIFS('master 2015'!L2:L352,"&gt;74",'master 2015'!L2:L352,"&lt;80",'master 2015'!A2:A352,"=Mme",'master 2015'!G2:G352,"=A")</f>
        <v>#NAME?</v>
      </c>
      <c r="E30" s="101" t="e">
        <f t="shared" si="5"/>
        <v>#NAME?</v>
      </c>
      <c r="F30" s="100" t="e">
        <f t="shared" si="6"/>
        <v>#NAME?</v>
      </c>
      <c r="G30" s="102" t="e">
        <f t="shared" si="7"/>
        <v>#NAME?</v>
      </c>
      <c r="I30" s="112" t="e">
        <f>_xlfn.SUMIFS('master 2015'!F2:F352,'master 2015'!G2:G352,"=A",'master 2015'!L2:L352,"&gt;74",'master 2015'!L2:L352,"&lt;80")/F30</f>
        <v>#NAME?</v>
      </c>
    </row>
    <row r="31" spans="1:9" ht="18.75" thickBot="1">
      <c r="A31" s="99" t="s">
        <v>1890</v>
      </c>
      <c r="B31" s="100" t="e">
        <f>_xlfn.COUNTIFS('master 2015'!L2:L352,"&gt;79",'master 2015'!L2:L352,"&lt;85",'master 2015'!A2:A352,"=Mr",'master 2015'!G2:G352,"=A")</f>
        <v>#NAME?</v>
      </c>
      <c r="C31" s="101" t="e">
        <f t="shared" si="4"/>
        <v>#NAME?</v>
      </c>
      <c r="D31" s="100" t="e">
        <f>_xlfn.COUNTIFS('master 2015'!L2:L352,"&gt;79",'master 2015'!L2:L352,"&lt;85",'master 2015'!A2:A352,"=Mme",'master 2015'!G2:G352,"=A")</f>
        <v>#NAME?</v>
      </c>
      <c r="E31" s="101" t="e">
        <f t="shared" si="5"/>
        <v>#NAME?</v>
      </c>
      <c r="F31" s="100" t="e">
        <f t="shared" si="6"/>
        <v>#NAME?</v>
      </c>
      <c r="G31" s="102" t="e">
        <f t="shared" si="7"/>
        <v>#NAME?</v>
      </c>
      <c r="I31" s="112" t="e">
        <f>_xlfn.SUMIFS('master 2015'!F2:F352,'master 2015'!G2:G352,"=A",'master 2015'!L2:L352,"&gt;79",'master 2015'!L2:L352,"&lt;85")/F31</f>
        <v>#NAME?</v>
      </c>
    </row>
    <row r="32" spans="1:9" ht="18.75" thickBot="1">
      <c r="A32" s="99" t="s">
        <v>1891</v>
      </c>
      <c r="B32" s="100" t="e">
        <f>_xlfn.COUNTIFS('master 2015'!L2:L352,"&gt;84",'master 2015'!L2:L352,"&lt;90",'master 2015'!A2:A352,"=Mr",'master 2015'!G2:G352,"=A")</f>
        <v>#NAME?</v>
      </c>
      <c r="C32" s="101" t="e">
        <f t="shared" si="4"/>
        <v>#NAME?</v>
      </c>
      <c r="D32" s="100" t="e">
        <f>_xlfn.COUNTIFS('master 2015'!L2:L352,"&gt;84",'master 2015'!L2:L352,"&lt;90",'master 2015'!A2:A352,"=Mme",'master 2015'!G2:G352,"=A")</f>
        <v>#NAME?</v>
      </c>
      <c r="E32" s="101" t="e">
        <f t="shared" si="5"/>
        <v>#NAME?</v>
      </c>
      <c r="F32" s="100" t="e">
        <f t="shared" si="6"/>
        <v>#NAME?</v>
      </c>
      <c r="G32" s="102" t="e">
        <f t="shared" si="7"/>
        <v>#NAME?</v>
      </c>
      <c r="I32" s="112" t="e">
        <f>_xlfn.SUMIFS('master 2015'!F2:F352,'master 2015'!G2:G352,"=A",'master 2015'!L2:L352,"&gt;84",'master 2015'!L2:L352,"&lt;90")/F32</f>
        <v>#NAME?</v>
      </c>
    </row>
    <row r="33" spans="1:9" ht="18.75" thickBot="1">
      <c r="A33" s="127" t="s">
        <v>1886</v>
      </c>
      <c r="B33" s="128" t="e">
        <f>_xlfn.COUNTIFS('master 2015'!L27:L353,"&gt;89",'master 2015'!A27:A353,"=Mr")</f>
        <v>#NAME?</v>
      </c>
      <c r="C33" s="129" t="e">
        <f t="shared" si="4"/>
        <v>#NAME?</v>
      </c>
      <c r="D33" s="128" t="e">
        <f>_xlfn.COUNTIFS('master 2015'!L27:L353,"&gt;89",'master 2015'!A27:A353,"=Mme")</f>
        <v>#NAME?</v>
      </c>
      <c r="E33" s="129" t="e">
        <f t="shared" si="5"/>
        <v>#NAME?</v>
      </c>
      <c r="F33" s="128" t="e">
        <f t="shared" si="6"/>
        <v>#NAME?</v>
      </c>
      <c r="G33" s="102" t="e">
        <f t="shared" si="7"/>
        <v>#NAME?</v>
      </c>
      <c r="I33" s="113" t="e">
        <f>_xlfn.SUMIFS('master 2015'!F2:F352,'master 2015'!G2:G352,"=A",'master 2015'!L2:L352,"&gt;89")/F33</f>
        <v>#NAME?</v>
      </c>
    </row>
    <row r="34" spans="1:9" ht="18.75" thickBot="1">
      <c r="A34" s="154" t="s">
        <v>1515</v>
      </c>
      <c r="B34" s="152" t="e">
        <f>SUM(B25:B33)</f>
        <v>#NAME?</v>
      </c>
      <c r="C34" s="153" t="e">
        <f t="shared" si="4"/>
        <v>#NAME?</v>
      </c>
      <c r="D34" s="152" t="e">
        <f>SUM(D25:D33)</f>
        <v>#NAME?</v>
      </c>
      <c r="E34" s="153" t="e">
        <f t="shared" si="5"/>
        <v>#NAME?</v>
      </c>
      <c r="F34" s="152" t="e">
        <f>SUM(F25:F33)</f>
        <v>#NAME?</v>
      </c>
      <c r="G34" s="155" t="e">
        <f>F34/totgen</f>
        <v>#NAME?</v>
      </c>
      <c r="H34" s="138"/>
      <c r="I34" s="144" t="e">
        <f>_xlfn.SUMIFS('master 2015'!F2:F352,'master 2015'!G2:G352,"=A")/F34</f>
        <v>#NAME?</v>
      </c>
    </row>
    <row r="35" spans="1:8" ht="18.75" thickBot="1">
      <c r="A35" s="140" t="s">
        <v>1854</v>
      </c>
      <c r="B35" s="156" t="e">
        <f>_xlfn.SUMIFS('master 2015'!L2:L352,'master 2015'!G2:G352,"=A",'master 2015'!A2:A352,"=Mr")/B34</f>
        <v>#NAME?</v>
      </c>
      <c r="C35" s="142"/>
      <c r="D35" s="156" t="e">
        <f>_xlfn.SUMIFS('master 2015'!L2:L352,'master 2015'!G2:G352,"=A",'master 2015'!A2:A352,"=Mme")/D34</f>
        <v>#NAME?</v>
      </c>
      <c r="E35" s="157"/>
      <c r="F35" s="156" t="e">
        <f>_xlfn.SUMIFS('master 2015'!L2:L352,'master 2015'!G2:G352,"=A")/F34</f>
        <v>#NAME?</v>
      </c>
      <c r="G35" s="143"/>
      <c r="H35" s="91"/>
    </row>
    <row r="36" spans="1:8" ht="6" customHeight="1" thickBot="1">
      <c r="A36" s="92"/>
      <c r="B36" s="137"/>
      <c r="C36" s="121"/>
      <c r="D36" s="137"/>
      <c r="E36" s="122"/>
      <c r="F36" s="137"/>
      <c r="G36" s="122"/>
      <c r="H36" s="91"/>
    </row>
    <row r="37" spans="1:9" ht="18.75" thickBot="1">
      <c r="A37" s="99" t="s">
        <v>1900</v>
      </c>
      <c r="B37" s="100" t="e">
        <f>_xlfn.COUNTIFS('master 2015'!L2:L352,"&gt;68",'master 2015'!A2:A352,"=Mr",'master 2015'!G2:G352,"=A")</f>
        <v>#NAME?</v>
      </c>
      <c r="C37" s="101" t="e">
        <f>B37/tothom</f>
        <v>#NAME?</v>
      </c>
      <c r="D37" s="100" t="e">
        <f>_xlfn.COUNTIFS('master 2015'!L2:L352,"&gt;68",'master 2015'!A2:A352,"=Mme",'master 2015'!G2:G352,"=A")</f>
        <v>#NAME?</v>
      </c>
      <c r="E37" s="101" t="e">
        <f>D37/totd</f>
        <v>#NAME?</v>
      </c>
      <c r="F37" s="100" t="e">
        <f>SUM(B37,D37)</f>
        <v>#NAME?</v>
      </c>
      <c r="G37" s="102" t="e">
        <f>F37/totgen</f>
        <v>#NAME?</v>
      </c>
      <c r="I37" s="113" t="e">
        <f>_xlfn.SUMIFS('master 2015'!F2:F352,'master 2015'!G2:G352,"=A",'master 2015'!L2:L352,"&gt;68")/F37</f>
        <v>#NAME?</v>
      </c>
    </row>
    <row r="38" spans="1:9" ht="18.75" thickBot="1">
      <c r="A38" s="99" t="s">
        <v>1852</v>
      </c>
      <c r="B38" s="100" t="e">
        <f>_xlfn.COUNTIFS('master 2015'!L2:L352,"&gt;69",'master 2015'!A2:A352,"=Mr",'master 2015'!G2:G352,"=A")</f>
        <v>#NAME?</v>
      </c>
      <c r="C38" s="101" t="e">
        <f>B38/tothom</f>
        <v>#NAME?</v>
      </c>
      <c r="D38" s="100" t="e">
        <f>_xlfn.COUNTIFS('master 2015'!L2:L352,"&gt;69",'master 2015'!A2:A352,"=Mme",'master 2015'!G2:G352,"=A")</f>
        <v>#NAME?</v>
      </c>
      <c r="E38" s="123" t="e">
        <f>D38/totd</f>
        <v>#NAME?</v>
      </c>
      <c r="F38" s="100" t="e">
        <f>SUM(B38,D38)</f>
        <v>#NAME?</v>
      </c>
      <c r="G38" s="102" t="e">
        <f>F38/totgen</f>
        <v>#NAME?</v>
      </c>
      <c r="I38" s="113" t="e">
        <f>_xlfn.SUMIFS('master 2015'!F2:F352,'master 2015'!G2:G352,"=A",'master 2015'!L2:L352,"&gt;69")/F38</f>
        <v>#NAME?</v>
      </c>
    </row>
    <row r="39" spans="1:9" ht="18.75" thickBot="1">
      <c r="A39" s="124" t="s">
        <v>1898</v>
      </c>
      <c r="B39" s="100" t="e">
        <f>_xlfn.COUNTIFS('master 2015'!L2:L352,"&gt;74",'master 2015'!A2:A352,"=Mr",'master 2015'!G2:G352,"=A")</f>
        <v>#NAME?</v>
      </c>
      <c r="C39" s="96" t="e">
        <f>B39/tothom</f>
        <v>#NAME?</v>
      </c>
      <c r="D39" s="100" t="e">
        <f>_xlfn.COUNTIFS('master 2015'!L2:L352,"&gt;74",'master 2015'!A2:A352,"=Mme",'master 2015'!G2:G352,"=A")</f>
        <v>#NAME?</v>
      </c>
      <c r="E39" s="97" t="e">
        <f>D39/totd</f>
        <v>#NAME?</v>
      </c>
      <c r="F39" s="95" t="e">
        <f>SUM(B39,D39)</f>
        <v>#NAME?</v>
      </c>
      <c r="G39" s="104" t="e">
        <f>F39/totgen</f>
        <v>#NAME?</v>
      </c>
      <c r="I39" s="113" t="e">
        <f>_xlfn.SUMIFS('master 2015'!F2:F352,'master 2015'!G2:G352,"=A",'master 2015'!L2:L352,"&gt;74")/F39</f>
        <v>#NAME?</v>
      </c>
    </row>
    <row r="40" spans="1:9" ht="18.75" thickBot="1">
      <c r="A40" s="125" t="s">
        <v>1899</v>
      </c>
      <c r="B40" s="109" t="e">
        <f>_xlfn.COUNTIFS('master 2015'!L2:L352,"&gt;73",'master 2015'!A2:A352,"=Mr",'master 2015'!G2:G352,"=A")</f>
        <v>#NAME?</v>
      </c>
      <c r="C40" s="108" t="e">
        <f>B40/tothom</f>
        <v>#NAME?</v>
      </c>
      <c r="D40" s="109" t="e">
        <f>_xlfn.COUNTIFS('master 2015'!L2:L352,"&gt;73",'master 2015'!A2:A352,"=Mme",'master 2015'!G2:G352,"=A")</f>
        <v>#NAME?</v>
      </c>
      <c r="E40" s="126" t="e">
        <f>D40/totd</f>
        <v>#NAME?</v>
      </c>
      <c r="F40" s="109" t="e">
        <f>SUM(B40,D40)</f>
        <v>#NAME?</v>
      </c>
      <c r="G40" s="110" t="e">
        <f>F40/totgen</f>
        <v>#NAME?</v>
      </c>
      <c r="I40" s="113" t="e">
        <f>_xlfn.SUMIFS('master 2015'!F2:F352,'master 2015'!G2:G352,"=A",'master 2015'!L2:L352,"&gt;73")/F40</f>
        <v>#NAME?</v>
      </c>
    </row>
    <row r="41" spans="1:9" ht="18.75" thickBot="1">
      <c r="A41" s="92">
        <f>89</f>
        <v>89</v>
      </c>
      <c r="B41" s="109" t="e">
        <f>_xlfn.COUNTIFS('master 2015'!L2:L352,"-89",'master 2015'!A2:A352,"=Mr",'master 2015'!G2:G352,"=A")</f>
        <v>#NAME?</v>
      </c>
      <c r="C41" s="121"/>
      <c r="D41" s="109" t="e">
        <f>_xlfn.COUNTIFS('master 2015'!L2:L352,"-89",'master 2015'!A2:A352,"=Mr",'master 2015'!G2:G352,"=A")</f>
        <v>#NAME?</v>
      </c>
      <c r="E41" s="122"/>
      <c r="F41" s="120"/>
      <c r="G41" s="122"/>
      <c r="I41" s="137"/>
    </row>
    <row r="42" ht="3.75" customHeight="1" thickBot="1"/>
    <row r="43" spans="1:9" ht="18.75" thickBot="1">
      <c r="A43" s="332" t="s">
        <v>1882</v>
      </c>
      <c r="B43" s="333"/>
      <c r="C43" s="333"/>
      <c r="D43" s="333"/>
      <c r="E43" s="333"/>
      <c r="F43" s="333"/>
      <c r="G43" s="334"/>
      <c r="I43" s="343" t="s">
        <v>1854</v>
      </c>
    </row>
    <row r="44" spans="1:9" ht="18.75" thickBot="1">
      <c r="A44" s="94"/>
      <c r="B44" s="335" t="s">
        <v>1884</v>
      </c>
      <c r="C44" s="336"/>
      <c r="D44" s="335" t="s">
        <v>1851</v>
      </c>
      <c r="E44" s="336"/>
      <c r="F44" s="335" t="s">
        <v>1515</v>
      </c>
      <c r="G44" s="336"/>
      <c r="I44" s="344"/>
    </row>
    <row r="45" spans="1:8" ht="6" customHeight="1" thickBot="1">
      <c r="A45" s="114"/>
      <c r="B45" s="115"/>
      <c r="C45" s="115"/>
      <c r="D45" s="115"/>
      <c r="E45" s="115"/>
      <c r="F45" s="115"/>
      <c r="G45" s="115"/>
      <c r="H45" s="91"/>
    </row>
    <row r="46" spans="1:9" ht="18">
      <c r="A46" s="99" t="s">
        <v>1883</v>
      </c>
      <c r="B46" s="100" t="e">
        <f>_xlfn.COUNTIFS('master 2015'!F2:F352,"&lt;5,1",'master 2015'!A2:A352,"=Mr")</f>
        <v>#NAME?</v>
      </c>
      <c r="C46" s="101" t="e">
        <f aca="true" t="shared" si="8" ref="C46:C52">B46/tothom</f>
        <v>#NAME?</v>
      </c>
      <c r="D46" s="100" t="e">
        <f>_xlfn.COUNTIFS('master 2015'!F2:F352,"&lt;5,1",'master 2015'!A2:A352,"=Mme")</f>
        <v>#NAME?</v>
      </c>
      <c r="E46" s="101" t="e">
        <f aca="true" t="shared" si="9" ref="E46:E52">D46/totd</f>
        <v>#NAME?</v>
      </c>
      <c r="F46" s="100" t="e">
        <f aca="true" t="shared" si="10" ref="F46:F52">SUM(B46,D46)</f>
        <v>#NAME?</v>
      </c>
      <c r="G46" s="102" t="e">
        <f aca="true" t="shared" si="11" ref="G46:G52">F46/totgen</f>
        <v>#NAME?</v>
      </c>
      <c r="I46" s="117" t="e">
        <f>SUMIF('master 2015'!F2:F352,"&lt;5,1",'master 2015'!L2:L352)/SUM(B46,D46)</f>
        <v>#NAME?</v>
      </c>
    </row>
    <row r="47" spans="1:9" ht="18">
      <c r="A47" s="103" t="s">
        <v>1892</v>
      </c>
      <c r="B47" s="98" t="e">
        <f>_xlfn.COUNTIFS('master 2015'!F2:F352,"&gt;5",'master 2015'!F2:F352,"&lt;10,1",'master 2015'!A2:A352,"=Mr")</f>
        <v>#NAME?</v>
      </c>
      <c r="C47" s="96" t="e">
        <f t="shared" si="8"/>
        <v>#NAME?</v>
      </c>
      <c r="D47" s="98" t="e">
        <f>_xlfn.COUNTIFS('master 2015'!F2:F352,"&gt;5",'master 2015'!F2:F352,"&lt;10,1",'master 2015'!A2:A352,"=Mme")</f>
        <v>#NAME?</v>
      </c>
      <c r="E47" s="96" t="e">
        <f t="shared" si="9"/>
        <v>#NAME?</v>
      </c>
      <c r="F47" s="95" t="e">
        <f t="shared" si="10"/>
        <v>#NAME?</v>
      </c>
      <c r="G47" s="104" t="e">
        <f t="shared" si="11"/>
        <v>#NAME?</v>
      </c>
      <c r="I47" s="112" t="e">
        <f>_xlfn.SUMIFS('master 2015'!L2:L352,'master 2015'!F2:F352,"&gt;5",'master 2015'!F2:F352,"&lt;10,1")/SUM(B47,D47)</f>
        <v>#NAME?</v>
      </c>
    </row>
    <row r="48" spans="1:9" ht="18">
      <c r="A48" s="105" t="s">
        <v>1893</v>
      </c>
      <c r="B48" s="98" t="e">
        <f>_xlfn.COUNTIFS('master 2015'!F2:F352,"&gt;10",'master 2015'!F2:F352,"&lt;15,1",'master 2015'!A2:A352,"=Mr")</f>
        <v>#NAME?</v>
      </c>
      <c r="C48" s="96" t="e">
        <f t="shared" si="8"/>
        <v>#NAME?</v>
      </c>
      <c r="D48" s="98" t="e">
        <f>_xlfn.COUNTIFS('master 2015'!F2:F352,"&gt;10",'master 2015'!F2:F352,"&lt;15,1",'master 2015'!A2:A352,"=Mme")</f>
        <v>#NAME?</v>
      </c>
      <c r="E48" s="96" t="e">
        <f t="shared" si="9"/>
        <v>#NAME?</v>
      </c>
      <c r="F48" s="95" t="e">
        <f t="shared" si="10"/>
        <v>#NAME?</v>
      </c>
      <c r="G48" s="104" t="e">
        <f t="shared" si="11"/>
        <v>#NAME?</v>
      </c>
      <c r="I48" s="112" t="e">
        <f>_xlfn.SUMIFS('master 2015'!L2:L352,'master 2015'!F2:F352,"&gt;10",'master 2015'!F2:F352,"&lt;15,1")/SUM(B48,D48)</f>
        <v>#NAME?</v>
      </c>
    </row>
    <row r="49" spans="1:9" ht="18">
      <c r="A49" s="105" t="s">
        <v>1894</v>
      </c>
      <c r="B49" s="98" t="e">
        <f>_xlfn.COUNTIFS('master 2015'!F2:F352,"&gt;15",'master 2015'!F2:F352,"&lt;20,1",'master 2015'!A2:A352,"=Mr")</f>
        <v>#NAME?</v>
      </c>
      <c r="C49" s="96" t="e">
        <f t="shared" si="8"/>
        <v>#NAME?</v>
      </c>
      <c r="D49" s="98" t="e">
        <f>_xlfn.COUNTIFS('master 2015'!F2:F352,"&gt;15",'master 2015'!F2:F352,"&lt;20,1",'master 2015'!A2:A352,"=Mme")</f>
        <v>#NAME?</v>
      </c>
      <c r="E49" s="96" t="e">
        <f t="shared" si="9"/>
        <v>#NAME?</v>
      </c>
      <c r="F49" s="95" t="e">
        <f t="shared" si="10"/>
        <v>#NAME?</v>
      </c>
      <c r="G49" s="104" t="e">
        <f t="shared" si="11"/>
        <v>#NAME?</v>
      </c>
      <c r="I49" s="112" t="e">
        <f>_xlfn.SUMIFS('master 2015'!L2:L352,'master 2015'!F2:F352,"&gt;15",'master 2015'!F2:F352,"&lt;20,1")/SUM(B49,D49)</f>
        <v>#NAME?</v>
      </c>
    </row>
    <row r="50" spans="1:9" ht="18">
      <c r="A50" s="105" t="s">
        <v>1895</v>
      </c>
      <c r="B50" s="98" t="e">
        <f>_xlfn.COUNTIFS('master 2015'!F2:F352,"&gt;20",'master 2015'!F2:F352,"&lt;25,1",'master 2015'!A2:A352,"=Mr")</f>
        <v>#NAME?</v>
      </c>
      <c r="C50" s="96" t="e">
        <f t="shared" si="8"/>
        <v>#NAME?</v>
      </c>
      <c r="D50" s="98" t="e">
        <f>_xlfn.COUNTIFS('master 2015'!F2:F352,"&gt;20",'master 2015'!F2:F352,"&lt;25,1",'master 2015'!A2:A352,"=Mme")</f>
        <v>#NAME?</v>
      </c>
      <c r="E50" s="96" t="e">
        <f t="shared" si="9"/>
        <v>#NAME?</v>
      </c>
      <c r="F50" s="95" t="e">
        <f t="shared" si="10"/>
        <v>#NAME?</v>
      </c>
      <c r="G50" s="104" t="e">
        <f t="shared" si="11"/>
        <v>#NAME?</v>
      </c>
      <c r="I50" s="112" t="e">
        <f>_xlfn.SUMIFS('master 2015'!L2:L352,'master 2015'!F2:F352,"&gt;20",'master 2015'!F2:F352,"&lt;25,1")/SUM(B50,D50)</f>
        <v>#NAME?</v>
      </c>
    </row>
    <row r="51" spans="1:9" ht="18">
      <c r="A51" s="105" t="s">
        <v>1896</v>
      </c>
      <c r="B51" s="98" t="e">
        <f>_xlfn.COUNTIFS('master 2015'!F2:F352,"&gt;25",'master 2015'!F2:F352,"&lt;30,1",'master 2015'!A2:A352,"=Mr")</f>
        <v>#NAME?</v>
      </c>
      <c r="C51" s="96" t="e">
        <f t="shared" si="8"/>
        <v>#NAME?</v>
      </c>
      <c r="D51" s="98" t="e">
        <f>_xlfn.COUNTIFS('master 2015'!F2:F352,"&gt;25",'master 2015'!F2:F352,"&lt;30,1",'master 2015'!A2:A352,"=Mme")</f>
        <v>#NAME?</v>
      </c>
      <c r="E51" s="96" t="e">
        <f t="shared" si="9"/>
        <v>#NAME?</v>
      </c>
      <c r="F51" s="95" t="e">
        <f t="shared" si="10"/>
        <v>#NAME?</v>
      </c>
      <c r="G51" s="104" t="e">
        <f t="shared" si="11"/>
        <v>#NAME?</v>
      </c>
      <c r="I51" s="112" t="e">
        <f>_xlfn.SUMIFS('master 2015'!L2:L352,'master 2015'!F2:F352,"&gt;25",'master 2015'!F2:F352,"&lt;30,1")/SUM(B51,D51)</f>
        <v>#NAME?</v>
      </c>
    </row>
    <row r="52" spans="1:9" ht="18.75" thickBot="1">
      <c r="A52" s="130" t="s">
        <v>1897</v>
      </c>
      <c r="B52" s="131" t="e">
        <f>_xlfn.COUNTIFS('master 2015'!F2:F352,"&gt;30",'master 2015'!A2:A352,"=Mr")</f>
        <v>#NAME?</v>
      </c>
      <c r="C52" s="132" t="e">
        <f t="shared" si="8"/>
        <v>#NAME?</v>
      </c>
      <c r="D52" s="131" t="e">
        <f>_xlfn.COUNTIFS('master 2015'!F2:F352,"&gt;30",'master 2015'!A2:A352,"=Mme")</f>
        <v>#NAME?</v>
      </c>
      <c r="E52" s="132" t="e">
        <f t="shared" si="9"/>
        <v>#NAME?</v>
      </c>
      <c r="F52" s="133" t="e">
        <f t="shared" si="10"/>
        <v>#NAME?</v>
      </c>
      <c r="G52" s="134" t="e">
        <f t="shared" si="11"/>
        <v>#NAME?</v>
      </c>
      <c r="I52" s="113" t="e">
        <f>SUMIF('master 2015'!F2:F353,"&gt;30",'master 2015'!L2:L352)/SUM(B52,D52)</f>
        <v>#NAME?</v>
      </c>
    </row>
    <row r="53" spans="1:9" ht="18.75" thickBot="1">
      <c r="A53" s="148" t="s">
        <v>1903</v>
      </c>
      <c r="B53" s="149">
        <f>SUMIF('master 2015'!A2:A352,"=Mr",'master 2015'!F2:F352)/tothom</f>
        <v>23.336781593848915</v>
      </c>
      <c r="C53" s="150"/>
      <c r="D53" s="149">
        <f>SUMIF('master 2015'!A2:A352,"=Mme",'master 2015'!F2:F352)/totd</f>
        <v>23.25084744685113</v>
      </c>
      <c r="E53" s="150"/>
      <c r="F53" s="149">
        <f>SUM('master 2015'!F2:F352)/totgen</f>
        <v>23.293447280405594</v>
      </c>
      <c r="G53" s="151"/>
      <c r="I53" s="113">
        <f>SUM('master 2015'!L2:L352)/totgen</f>
        <v>70.65242165242165</v>
      </c>
    </row>
    <row r="54" spans="1:9" ht="18">
      <c r="A54" s="105" t="s">
        <v>1907</v>
      </c>
      <c r="B54" s="98" t="e">
        <f>_xlfn.COUNTIFS('master 2015'!A2:A352,"=Mr",'master 2015'!F2:F352,"&lt;20,6")</f>
        <v>#NAME?</v>
      </c>
      <c r="C54" s="96"/>
      <c r="D54" s="98" t="e">
        <f>_xlfn.COUNTIFS('master 2015'!A2:A352,"=Mme",'master 2015'!F2:F352,"&lt;20,6")</f>
        <v>#NAME?</v>
      </c>
      <c r="E54" s="96"/>
      <c r="F54" s="95" t="e">
        <f>SUM(B54,D54)</f>
        <v>#NAME?</v>
      </c>
      <c r="G54" s="104"/>
      <c r="I54" s="137"/>
    </row>
    <row r="55" spans="1:9" ht="18.75" thickBot="1">
      <c r="A55" s="106" t="s">
        <v>1908</v>
      </c>
      <c r="B55" s="107" t="e">
        <f>_xlfn.COUNTIFS('master 2015'!A2:A352,"=Mr",'master 2015'!F2:F352,"&gt;20,5")</f>
        <v>#NAME?</v>
      </c>
      <c r="C55" s="108"/>
      <c r="D55" s="107" t="e">
        <f>_xlfn.COUNTIFS('master 2015'!A2:A352,"=Mme",'master 2015'!F2:F352,"&gt;20,5")</f>
        <v>#NAME?</v>
      </c>
      <c r="E55" s="108"/>
      <c r="F55" s="109" t="e">
        <f>SUM(B55,D55)</f>
        <v>#NAME?</v>
      </c>
      <c r="G55" s="110"/>
      <c r="I55" s="137"/>
    </row>
    <row r="56" ht="18.75" thickBot="1"/>
    <row r="57" spans="1:11" s="88" customFormat="1" ht="18.75" customHeight="1">
      <c r="A57" s="337" t="s">
        <v>1850</v>
      </c>
      <c r="B57" s="339" t="e">
        <f>_xlfn.COUNTIFS('master 2015'!A2:A352,"=Mr",'master 2015'!W2:W352,"&lt;0")</f>
        <v>#NAME?</v>
      </c>
      <c r="C57" s="341" t="e">
        <f>B57/tothom</f>
        <v>#NAME?</v>
      </c>
      <c r="D57" s="339" t="e">
        <f>_xlfn.COUNTIFS('master 2015'!A2:A352,"=Mme",'master 2015'!W2:W352,"&lt;0")</f>
        <v>#NAME?</v>
      </c>
      <c r="E57" s="341" t="e">
        <f>D57/totd</f>
        <v>#NAME?</v>
      </c>
      <c r="F57" s="339" t="e">
        <f>SUM(B57,D57)</f>
        <v>#NAME?</v>
      </c>
      <c r="G57" s="345" t="e">
        <f>F57/totgen</f>
        <v>#NAME?</v>
      </c>
      <c r="I57" s="111"/>
      <c r="K57" s="118"/>
    </row>
    <row r="58" spans="1:11" s="88" customFormat="1" ht="18.75" customHeight="1" thickBot="1">
      <c r="A58" s="338"/>
      <c r="B58" s="340"/>
      <c r="C58" s="342"/>
      <c r="D58" s="340"/>
      <c r="E58" s="342"/>
      <c r="F58" s="340"/>
      <c r="G58" s="346"/>
      <c r="I58" s="111"/>
      <c r="K58" s="118"/>
    </row>
    <row r="59" spans="1:11" s="88" customFormat="1" ht="18.75" customHeight="1" thickBot="1">
      <c r="A59" s="166"/>
      <c r="B59" s="164"/>
      <c r="C59" s="165"/>
      <c r="D59" s="164"/>
      <c r="E59" s="165"/>
      <c r="F59" s="164"/>
      <c r="G59" s="165"/>
      <c r="I59" s="111"/>
      <c r="K59" s="118"/>
    </row>
    <row r="60" spans="1:11" s="88" customFormat="1" ht="18.75" customHeight="1">
      <c r="A60" s="347" t="s">
        <v>1910</v>
      </c>
      <c r="B60" s="339" t="e">
        <f>_xlfn.COUNTIFS('master 2015'!A2:A352,"=Mr",'master 2015'!W2:W352,"&gt;0")</f>
        <v>#NAME?</v>
      </c>
      <c r="C60" s="341" t="e">
        <f>B60/tothom</f>
        <v>#NAME?</v>
      </c>
      <c r="D60" s="339" t="e">
        <f>_xlfn.COUNTIFS('master 2015'!A2:A352,"=Mme",'master 2015'!W2:W352,"&gt;0")</f>
        <v>#NAME?</v>
      </c>
      <c r="E60" s="341" t="e">
        <f>D60/totd</f>
        <v>#NAME?</v>
      </c>
      <c r="F60" s="339" t="e">
        <f>SUM(B60,D60)</f>
        <v>#NAME?</v>
      </c>
      <c r="G60" s="345" t="e">
        <f>F60/totgen</f>
        <v>#NAME?</v>
      </c>
      <c r="I60" s="111"/>
      <c r="K60" s="118"/>
    </row>
    <row r="61" spans="1:11" s="88" customFormat="1" ht="18.75" customHeight="1" thickBot="1">
      <c r="A61" s="338"/>
      <c r="B61" s="340"/>
      <c r="C61" s="342"/>
      <c r="D61" s="340"/>
      <c r="E61" s="342"/>
      <c r="F61" s="340"/>
      <c r="G61" s="346"/>
      <c r="I61" s="111"/>
      <c r="K61" s="118"/>
    </row>
    <row r="62" spans="1:11" s="167" customFormat="1" ht="18.75" customHeight="1" thickBot="1">
      <c r="A62" s="170"/>
      <c r="B62" s="171"/>
      <c r="C62" s="172"/>
      <c r="D62" s="171"/>
      <c r="E62" s="173"/>
      <c r="F62" s="171"/>
      <c r="G62" s="174"/>
      <c r="I62" s="168"/>
      <c r="K62" s="169"/>
    </row>
    <row r="63" spans="1:11" s="167" customFormat="1" ht="18.75" customHeight="1">
      <c r="A63" s="347" t="s">
        <v>1911</v>
      </c>
      <c r="B63" s="339" t="e">
        <f>_xlfn.COUNTIFS('master 2015'!A2:A352,"=Mr",'master 2015'!W2:W352,"=0")</f>
        <v>#NAME?</v>
      </c>
      <c r="C63" s="341" t="e">
        <f>B63/tothom</f>
        <v>#NAME?</v>
      </c>
      <c r="D63" s="339" t="e">
        <f>_xlfn.COUNTIFS('master 2015'!A2:A352,"=Mme",'master 2015'!W2:W352,"=0")</f>
        <v>#NAME?</v>
      </c>
      <c r="E63" s="341" t="e">
        <f>D63/totd</f>
        <v>#NAME?</v>
      </c>
      <c r="F63" s="339" t="e">
        <f>SUM(B63,D63)</f>
        <v>#NAME?</v>
      </c>
      <c r="G63" s="345" t="e">
        <f>F63/totgen</f>
        <v>#NAME?</v>
      </c>
      <c r="I63" s="168"/>
      <c r="K63" s="169"/>
    </row>
    <row r="64" spans="1:11" s="167" customFormat="1" ht="18.75" customHeight="1" thickBot="1">
      <c r="A64" s="338"/>
      <c r="B64" s="340"/>
      <c r="C64" s="342"/>
      <c r="D64" s="340"/>
      <c r="E64" s="342"/>
      <c r="F64" s="340"/>
      <c r="G64" s="346"/>
      <c r="I64" s="168"/>
      <c r="K64" s="169"/>
    </row>
    <row r="65" spans="1:11" s="167" customFormat="1" ht="18.75" customHeight="1">
      <c r="A65" s="170"/>
      <c r="B65" s="171"/>
      <c r="C65" s="172"/>
      <c r="D65" s="171"/>
      <c r="E65" s="173"/>
      <c r="F65" s="171"/>
      <c r="G65" s="174"/>
      <c r="I65" s="168"/>
      <c r="K65" s="169"/>
    </row>
    <row r="66" ht="4.5" customHeight="1"/>
    <row r="67" spans="1:11" s="167" customFormat="1" ht="6" customHeight="1" thickBot="1">
      <c r="A67" s="161"/>
      <c r="B67" s="162"/>
      <c r="C67" s="163"/>
      <c r="D67" s="164"/>
      <c r="E67" s="165"/>
      <c r="F67" s="166"/>
      <c r="G67" s="165"/>
      <c r="I67" s="168"/>
      <c r="K67" s="169"/>
    </row>
    <row r="68" spans="1:3" ht="18.75" thickBot="1">
      <c r="A68" s="332" t="s">
        <v>1904</v>
      </c>
      <c r="B68" s="333"/>
      <c r="C68" s="135">
        <f>COUNTIF('master 2015'!J2:J352,"=y")</f>
        <v>264</v>
      </c>
    </row>
    <row r="69" ht="6" customHeight="1" thickBot="1"/>
    <row r="70" spans="1:4" ht="18.75" thickBot="1">
      <c r="A70" s="332" t="s">
        <v>1542</v>
      </c>
      <c r="B70" s="333"/>
      <c r="C70" s="135">
        <f>COUNTIF('master 2015'!N2:N352,"=y")</f>
        <v>2</v>
      </c>
      <c r="D70" s="29"/>
    </row>
    <row r="71" ht="5.25" customHeight="1" thickBot="1"/>
    <row r="72" spans="1:3" ht="18.75" thickBot="1">
      <c r="A72" s="93" t="s">
        <v>1905</v>
      </c>
      <c r="B72" s="136">
        <v>42682</v>
      </c>
      <c r="C72" s="135">
        <f>COUNTIF('master 2015'!O2:O352,"=y")</f>
        <v>4</v>
      </c>
    </row>
    <row r="73" ht="4.5" customHeight="1" thickBot="1"/>
    <row r="74" spans="1:3" ht="18.75" thickBot="1">
      <c r="A74" s="332" t="s">
        <v>1906</v>
      </c>
      <c r="B74" s="333"/>
      <c r="C74" s="135">
        <f>COUNTIF('master 2015'!P2:P352,"=y")</f>
        <v>227</v>
      </c>
    </row>
    <row r="75" ht="6" customHeight="1" thickBot="1"/>
    <row r="76" spans="1:6" ht="19.5" thickBot="1">
      <c r="A76" s="328" t="s">
        <v>88</v>
      </c>
      <c r="B76" s="329"/>
      <c r="C76" s="145">
        <v>36</v>
      </c>
      <c r="D76" s="145">
        <v>29.7</v>
      </c>
      <c r="E76" s="146">
        <f>D76-C76</f>
        <v>-6.300000000000001</v>
      </c>
      <c r="F76" s="147">
        <f>(C76-D76)/C76</f>
        <v>0.17500000000000002</v>
      </c>
    </row>
    <row r="77" spans="1:6" ht="19.5" thickBot="1">
      <c r="A77" s="330" t="s">
        <v>89</v>
      </c>
      <c r="B77" s="331"/>
      <c r="C77" s="145">
        <v>10</v>
      </c>
      <c r="D77" s="145">
        <v>8.4</v>
      </c>
      <c r="E77" s="146">
        <f>D77-C77</f>
        <v>-1.5999999999999996</v>
      </c>
      <c r="F77" s="147">
        <f>(C77-D77)/C77</f>
        <v>0.15999999999999998</v>
      </c>
    </row>
    <row r="78" spans="1:6" ht="19.5" thickBot="1">
      <c r="A78" s="326" t="s">
        <v>90</v>
      </c>
      <c r="B78" s="327"/>
      <c r="C78" s="145">
        <v>20.5</v>
      </c>
      <c r="D78" s="145">
        <v>17.7</v>
      </c>
      <c r="E78" s="146">
        <f>D78-C78</f>
        <v>-2.8000000000000007</v>
      </c>
      <c r="F78" s="147">
        <f>(C78-D78)/C78</f>
        <v>0.13658536585365857</v>
      </c>
    </row>
    <row r="79" ht="3.75" customHeight="1" thickBot="1">
      <c r="F79" s="87"/>
    </row>
    <row r="80" spans="1:6" ht="19.5" thickBot="1">
      <c r="A80" s="328" t="s">
        <v>85</v>
      </c>
      <c r="B80" s="329"/>
      <c r="C80" s="145">
        <v>36</v>
      </c>
      <c r="D80" s="145">
        <v>28.1</v>
      </c>
      <c r="E80" s="146">
        <f>D80-C80</f>
        <v>-7.899999999999999</v>
      </c>
      <c r="F80" s="147">
        <f>(C80-D80)/C80</f>
        <v>0.21944444444444441</v>
      </c>
    </row>
    <row r="81" spans="1:6" ht="19.5" thickBot="1">
      <c r="A81" s="330" t="s">
        <v>86</v>
      </c>
      <c r="B81" s="331"/>
      <c r="C81" s="145">
        <v>36</v>
      </c>
      <c r="D81" s="145">
        <v>31.6</v>
      </c>
      <c r="E81" s="146">
        <f>D81-C81</f>
        <v>-4.399999999999999</v>
      </c>
      <c r="F81" s="147">
        <f>(C81-D81)/C81</f>
        <v>0.12222222222222218</v>
      </c>
    </row>
    <row r="82" spans="1:6" ht="19.5" thickBot="1">
      <c r="A82" s="326" t="s">
        <v>87</v>
      </c>
      <c r="B82" s="327"/>
      <c r="C82" s="145">
        <v>34.6</v>
      </c>
      <c r="D82" s="145">
        <v>30.6</v>
      </c>
      <c r="E82" s="146">
        <f>D82-C82</f>
        <v>-4</v>
      </c>
      <c r="F82" s="147">
        <f>(C82-D82)/C82</f>
        <v>0.11560693641618497</v>
      </c>
    </row>
  </sheetData>
  <sheetProtection/>
  <mergeCells count="45">
    <mergeCell ref="A63:A64"/>
    <mergeCell ref="F63:F64"/>
    <mergeCell ref="G63:G64"/>
    <mergeCell ref="A60:A61"/>
    <mergeCell ref="B60:B61"/>
    <mergeCell ref="C60:C61"/>
    <mergeCell ref="D60:D61"/>
    <mergeCell ref="E60:E61"/>
    <mergeCell ref="A70:B70"/>
    <mergeCell ref="A68:B68"/>
    <mergeCell ref="A22:G22"/>
    <mergeCell ref="B23:C23"/>
    <mergeCell ref="D23:E23"/>
    <mergeCell ref="F23:G23"/>
    <mergeCell ref="G57:G58"/>
    <mergeCell ref="F57:F58"/>
    <mergeCell ref="D57:D58"/>
    <mergeCell ref="E57:E58"/>
    <mergeCell ref="D63:D64"/>
    <mergeCell ref="E63:E64"/>
    <mergeCell ref="I43:I44"/>
    <mergeCell ref="I2:I3"/>
    <mergeCell ref="I22:I23"/>
    <mergeCell ref="F60:F61"/>
    <mergeCell ref="G60:G61"/>
    <mergeCell ref="B57:B58"/>
    <mergeCell ref="C57:C58"/>
    <mergeCell ref="B63:B64"/>
    <mergeCell ref="C63:C64"/>
    <mergeCell ref="A74:B74"/>
    <mergeCell ref="A2:G2"/>
    <mergeCell ref="B3:C3"/>
    <mergeCell ref="D3:E3"/>
    <mergeCell ref="F3:G3"/>
    <mergeCell ref="B44:C44"/>
    <mergeCell ref="D44:E44"/>
    <mergeCell ref="A43:G43"/>
    <mergeCell ref="F44:G44"/>
    <mergeCell ref="A57:A58"/>
    <mergeCell ref="A82:B82"/>
    <mergeCell ref="A76:B76"/>
    <mergeCell ref="A77:B77"/>
    <mergeCell ref="A78:B78"/>
    <mergeCell ref="A80:B80"/>
    <mergeCell ref="A81:B81"/>
  </mergeCells>
  <printOptions/>
  <pageMargins left="0.2362204724409449" right="0.2362204724409449" top="0" bottom="0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DUBOIS Ghislain</dc:creator>
  <cp:keywords/>
  <dc:description/>
  <cp:lastModifiedBy>andmic</cp:lastModifiedBy>
  <cp:lastPrinted>2016-10-05T13:30:42Z</cp:lastPrinted>
  <dcterms:created xsi:type="dcterms:W3CDTF">2007-11-27T16:43:38Z</dcterms:created>
  <dcterms:modified xsi:type="dcterms:W3CDTF">2017-06-18T10:22:34Z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